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Default Extension="emf" ContentType="image/x-em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75" windowWidth="11355" windowHeight="8190" activeTab="0"/>
  </bookViews>
  <sheets>
    <sheet name="Front Page" sheetId="1" r:id="rId1"/>
    <sheet name="Smith Chart" sheetId="2" r:id="rId2"/>
    <sheet name="Working Sheet" sheetId="3" r:id="rId3"/>
  </sheets>
  <externalReferences>
    <externalReference r:id="rId6"/>
  </externalReferences>
  <definedNames/>
  <calcPr fullCalcOnLoad="1"/>
</workbook>
</file>

<file path=xl/comments2.xml><?xml version="1.0" encoding="utf-8"?>
<comments xmlns="http://schemas.openxmlformats.org/spreadsheetml/2006/main">
  <authors>
    <author>KBlattenberger</author>
  </authors>
  <commentList>
    <comment ref="G4" authorId="0">
      <text>
        <r>
          <rPr>
            <sz val="8"/>
            <rFont val="Tahoma"/>
            <family val="2"/>
          </rPr>
          <t>Do not delete these cells or else the calibration points on the Smith Chart will go away.</t>
        </r>
      </text>
    </comment>
    <comment ref="M2" authorId="0">
      <text>
        <r>
          <rPr>
            <sz val="8"/>
            <rFont val="Tahoma"/>
            <family val="2"/>
          </rPr>
          <t>Enter the system reference impedance here.</t>
        </r>
      </text>
    </comment>
    <comment ref="B1" authorId="0">
      <text>
        <r>
          <rPr>
            <sz val="8"/>
            <rFont val="Tahoma"/>
            <family val="2"/>
          </rPr>
          <t>Version 2.0 presents a new format where rather than entering S-parameter data, the user inputs real and imaginary components as read off of a network analyzer or a simulation.</t>
        </r>
      </text>
    </comment>
  </commentList>
</comments>
</file>

<file path=xl/sharedStrings.xml><?xml version="1.0" encoding="utf-8"?>
<sst xmlns="http://schemas.openxmlformats.org/spreadsheetml/2006/main" count="156" uniqueCount="89">
  <si>
    <t>Frequency</t>
  </si>
  <si>
    <t>Resistance</t>
  </si>
  <si>
    <t>kHz</t>
  </si>
  <si>
    <t>Ohm</t>
  </si>
  <si>
    <t>- =C, +=L</t>
  </si>
  <si>
    <t>H</t>
  </si>
  <si>
    <t>x1</t>
  </si>
  <si>
    <t>x2</t>
  </si>
  <si>
    <t>Mid-pointTransfomed Impedance</t>
  </si>
  <si>
    <t>L2</t>
  </si>
  <si>
    <t>L1</t>
  </si>
  <si>
    <t>Reactance (imag)</t>
  </si>
  <si>
    <r>
      <rPr>
        <sz val="10"/>
        <rFont val="Arial"/>
        <family val="2"/>
      </rPr>
      <t>µ</t>
    </r>
    <r>
      <rPr>
        <sz val="10"/>
        <rFont val="Arial"/>
        <family val="0"/>
      </rPr>
      <t>H</t>
    </r>
  </si>
  <si>
    <t>Reactance (real)</t>
  </si>
  <si>
    <t>Junction</t>
  </si>
  <si>
    <t>X1 - X2</t>
  </si>
  <si>
    <t>X3</t>
  </si>
  <si>
    <t>Transmission line impedance</t>
  </si>
  <si>
    <t>X3'</t>
  </si>
  <si>
    <t>X4</t>
  </si>
  <si>
    <t>X1</t>
  </si>
  <si>
    <t>X2</t>
  </si>
  <si>
    <t>L</t>
  </si>
  <si>
    <t>Lagging L</t>
  </si>
  <si>
    <t>uH</t>
  </si>
  <si>
    <t>C</t>
  </si>
  <si>
    <t>pF</t>
  </si>
  <si>
    <t>a</t>
  </si>
  <si>
    <t>b</t>
  </si>
  <si>
    <t>c</t>
  </si>
  <si>
    <t>d</t>
  </si>
  <si>
    <t>X1 uH</t>
  </si>
  <si>
    <t>X3 uH</t>
  </si>
  <si>
    <t>X3' pF</t>
  </si>
  <si>
    <t>X2 uH</t>
  </si>
  <si>
    <t>x4 pF</t>
  </si>
  <si>
    <t>X4' uH</t>
  </si>
  <si>
    <t>Enter</t>
  </si>
  <si>
    <t xml:space="preserve">Carrier frequency </t>
  </si>
  <si>
    <t>X3C</t>
  </si>
  <si>
    <t>X3L</t>
  </si>
  <si>
    <t>X4C</t>
  </si>
  <si>
    <t>X4L</t>
  </si>
  <si>
    <t>Smith1</t>
  </si>
  <si>
    <t>Smith2</t>
  </si>
  <si>
    <t>Smith3</t>
  </si>
  <si>
    <t>Normalised</t>
  </si>
  <si>
    <t>S1</t>
  </si>
  <si>
    <t>Smith</t>
  </si>
  <si>
    <t>R</t>
  </si>
  <si>
    <t>X (real)</t>
  </si>
  <si>
    <t>Based on a paper by Alan W. Parnau "Broadbanding AM Antennas for Higher Fidelity and AM Stereo, 1987 NAB engineering Conference Proceedings"</t>
  </si>
  <si>
    <t>AM Antenna Broadband ATU design Spreadsheet</t>
  </si>
  <si>
    <t>By Andy Green and Martin Rice</t>
  </si>
  <si>
    <t>s</t>
  </si>
  <si>
    <t>S11x</t>
  </si>
  <si>
    <t>S11y</t>
  </si>
  <si>
    <t>Freq (MHz)</t>
  </si>
  <si>
    <t>Calibration Points</t>
  </si>
  <si>
    <t>L or C</t>
  </si>
  <si>
    <t>Series Title</t>
  </si>
  <si>
    <t>Cplx</t>
  </si>
  <si>
    <t>Zref</t>
  </si>
  <si>
    <t>Quotient</t>
  </si>
  <si>
    <t>Numerator</t>
  </si>
  <si>
    <t>Denominator</t>
  </si>
  <si>
    <t>Re</t>
  </si>
  <si>
    <t>Im</t>
  </si>
  <si>
    <t>Copyright: Kirt Blattenberger, RF Cafe</t>
  </si>
  <si>
    <t>Complex</t>
  </si>
  <si>
    <t>Smith Chart for Excel - Enter Impedances  v1.0</t>
  </si>
  <si>
    <r>
      <t xml:space="preserve">Reflection Coefficient  </t>
    </r>
    <r>
      <rPr>
        <b/>
        <sz val="11"/>
        <color indexed="23"/>
        <rFont val="Arial"/>
        <family val="2"/>
      </rPr>
      <t>(</t>
    </r>
    <r>
      <rPr>
        <b/>
        <sz val="11"/>
        <color indexed="23"/>
        <rFont val="Symbol"/>
        <family val="1"/>
      </rPr>
      <t>G</t>
    </r>
    <r>
      <rPr>
        <b/>
        <sz val="11"/>
        <color indexed="23"/>
        <rFont val="Arial"/>
        <family val="2"/>
      </rPr>
      <t>)</t>
    </r>
  </si>
  <si>
    <r>
      <t>R</t>
    </r>
    <r>
      <rPr>
        <b/>
        <vertAlign val="subscript"/>
        <sz val="11"/>
        <rFont val="Arial"/>
        <family val="2"/>
      </rPr>
      <t>L</t>
    </r>
    <r>
      <rPr>
        <b/>
        <sz val="9"/>
        <rFont val="Arial"/>
        <family val="2"/>
      </rPr>
      <t xml:space="preserve"> </t>
    </r>
    <r>
      <rPr>
        <b/>
        <sz val="10"/>
        <rFont val="Arial"/>
        <family val="2"/>
      </rPr>
      <t>(</t>
    </r>
    <r>
      <rPr>
        <b/>
        <sz val="10"/>
        <rFont val="Symbol"/>
        <family val="1"/>
      </rPr>
      <t>W)</t>
    </r>
  </si>
  <si>
    <r>
      <t>X</t>
    </r>
    <r>
      <rPr>
        <b/>
        <vertAlign val="subscript"/>
        <sz val="11"/>
        <rFont val="Arial"/>
        <family val="2"/>
      </rPr>
      <t>L</t>
    </r>
    <r>
      <rPr>
        <b/>
        <sz val="9"/>
        <rFont val="Arial"/>
        <family val="2"/>
      </rPr>
      <t xml:space="preserve"> </t>
    </r>
    <r>
      <rPr>
        <b/>
        <sz val="10"/>
        <rFont val="Arial"/>
        <family val="2"/>
      </rPr>
      <t>(</t>
    </r>
    <r>
      <rPr>
        <b/>
        <sz val="10"/>
        <rFont val="Symbol"/>
        <family val="1"/>
      </rPr>
      <t>W</t>
    </r>
    <r>
      <rPr>
        <b/>
        <sz val="10"/>
        <rFont val="Arial"/>
        <family val="2"/>
      </rPr>
      <t>)</t>
    </r>
  </si>
  <si>
    <r>
      <t>|</t>
    </r>
    <r>
      <rPr>
        <b/>
        <sz val="9"/>
        <rFont val="Arial"/>
        <family val="2"/>
      </rPr>
      <t>Z</t>
    </r>
    <r>
      <rPr>
        <b/>
        <vertAlign val="subscript"/>
        <sz val="10"/>
        <rFont val="Arial"/>
        <family val="2"/>
      </rPr>
      <t>L</t>
    </r>
    <r>
      <rPr>
        <b/>
        <sz val="11"/>
        <rFont val="Arial"/>
        <family val="2"/>
      </rPr>
      <t>|</t>
    </r>
  </si>
  <si>
    <r>
      <t>Ð</t>
    </r>
    <r>
      <rPr>
        <b/>
        <sz val="9"/>
        <rFont val="Arial"/>
        <family val="2"/>
      </rPr>
      <t>Z</t>
    </r>
    <r>
      <rPr>
        <b/>
        <vertAlign val="subscript"/>
        <sz val="10"/>
        <rFont val="Arial"/>
        <family val="2"/>
      </rPr>
      <t>L</t>
    </r>
  </si>
  <si>
    <t xml:space="preserve">Real </t>
  </si>
  <si>
    <t>Imaginary</t>
  </si>
  <si>
    <t>Tullamore</t>
  </si>
  <si>
    <t>For Excel 2003 and earlier, needs the Analysis Toolpak add-in found in 'tools' menu. Excel 2007 works without it, will not run on OpenOffice.</t>
  </si>
  <si>
    <t>Thanks to Tony Mulligan for much help.</t>
  </si>
  <si>
    <t>Smith Chart from RF Café www.Rfcafe.com</t>
  </si>
  <si>
    <t>Enter data in yellow colored cells</t>
  </si>
  <si>
    <t xml:space="preserve">This spreadsheet is designed to allow a broadband design ATU. It uses the fact that for a series connected L and C, as frequency increases, </t>
  </si>
  <si>
    <t>so X will get lower for C and Higher for L. If the right combination of L and C are chosen, the newtwork will self compensate for the sideband frequencies.</t>
  </si>
  <si>
    <t>www.totalbroadcast.ie</t>
  </si>
  <si>
    <t>TX</t>
  </si>
  <si>
    <t>You can adjust the mid point impedance to get practical values of L and C if required.</t>
  </si>
  <si>
    <t>Comments, improvements and corrections welcome to andyg@totalbroadcast.ie</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</si>
</sst>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0000"/>
    <numFmt numFmtId="171" formatCode="0.00000"/>
    <numFmt numFmtId="172" formatCode="0.0"/>
    <numFmt numFmtId="173" formatCode="&quot;$&quot;#,##0_);\(&quot;$&quot;#,##0\)"/>
    <numFmt numFmtId="174" formatCode="&quot;$&quot;#,##0_);[Red]\(&quot;$&quot;#,##0\)"/>
    <numFmt numFmtId="175" formatCode="&quot;$&quot;#,##0.00_);\(&quot;$&quot;#,##0.00\)"/>
    <numFmt numFmtId="176" formatCode="&quot;$&quot;#,##0.00_);[Red]\(&quot;$&quot;#,##0.00\)"/>
    <numFmt numFmtId="177" formatCode="_(&quot;$&quot;* #,##0_);_(&quot;$&quot;* \(#,##0\);_(&quot;$&quot;* &quot;-&quot;_);_(@_)"/>
    <numFmt numFmtId="178" formatCode="_(* #,##0_);_(* \(#,##0\);_(* &quot;-&quot;_);_(@_)"/>
    <numFmt numFmtId="179" formatCode="_(&quot;$&quot;* #,##0.00_);_(&quot;$&quot;* \(#,##0.00\);_(&quot;$&quot;* &quot;-&quot;??_);_(@_)"/>
    <numFmt numFmtId="180" formatCode="_(* #,##0.00_);_(* \(#,##0.00\);_(* &quot;-&quot;??_);_(@_)"/>
    <numFmt numFmtId="181" formatCode="0.000"/>
  </numFmts>
  <fonts count="42">
    <font>
      <sz val="10"/>
      <name val="Arial"/>
      <family val="0"/>
    </font>
    <font>
      <sz val="8"/>
      <name val="Arial"/>
      <family val="2"/>
    </font>
    <font>
      <b/>
      <sz val="10"/>
      <name val="Arial"/>
      <family val="2"/>
    </font>
    <font>
      <b/>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0"/>
      <color indexed="12"/>
      <name val="Arial"/>
      <family val="0"/>
    </font>
    <font>
      <sz val="9"/>
      <name val="Arial"/>
      <family val="2"/>
    </font>
    <font>
      <b/>
      <u val="single"/>
      <sz val="12"/>
      <color indexed="18"/>
      <name val="Arial"/>
      <family val="2"/>
    </font>
    <font>
      <sz val="8"/>
      <color indexed="18"/>
      <name val="Arial"/>
      <family val="2"/>
    </font>
    <font>
      <sz val="9"/>
      <color indexed="23"/>
      <name val="Arial"/>
      <family val="2"/>
    </font>
    <font>
      <sz val="8"/>
      <color indexed="12"/>
      <name val="Arial"/>
      <family val="2"/>
    </font>
    <font>
      <b/>
      <sz val="9"/>
      <name val="Arial"/>
      <family val="2"/>
    </font>
    <font>
      <sz val="8"/>
      <color indexed="23"/>
      <name val="Arial"/>
      <family val="2"/>
    </font>
    <font>
      <i/>
      <sz val="9"/>
      <name val="Arial"/>
      <family val="2"/>
    </font>
    <font>
      <b/>
      <sz val="9"/>
      <color indexed="23"/>
      <name val="Arial"/>
      <family val="2"/>
    </font>
    <font>
      <b/>
      <sz val="11"/>
      <color indexed="23"/>
      <name val="Arial"/>
      <family val="2"/>
    </font>
    <font>
      <b/>
      <sz val="11"/>
      <color indexed="23"/>
      <name val="Symbol"/>
      <family val="1"/>
    </font>
    <font>
      <b/>
      <vertAlign val="subscript"/>
      <sz val="11"/>
      <name val="Arial"/>
      <family val="2"/>
    </font>
    <font>
      <b/>
      <sz val="10"/>
      <name val="Symbol"/>
      <family val="1"/>
    </font>
    <font>
      <b/>
      <sz val="11"/>
      <name val="Arial"/>
      <family val="2"/>
    </font>
    <font>
      <b/>
      <vertAlign val="subscript"/>
      <sz val="10"/>
      <name val="Arial"/>
      <family val="2"/>
    </font>
    <font>
      <b/>
      <sz val="9"/>
      <name val="Symbol"/>
      <family val="1"/>
    </font>
    <font>
      <sz val="8"/>
      <name val="Tahoma"/>
      <family val="2"/>
    </font>
    <font>
      <sz val="10.5"/>
      <name val="Arial"/>
      <family val="0"/>
    </font>
    <font>
      <sz val="8"/>
      <name val="Arial Narrow"/>
      <family val="2"/>
    </font>
    <font>
      <b/>
      <sz val="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50"/>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medium"/>
      <top style="medium"/>
      <bottom style="medium"/>
    </border>
    <border>
      <left>
        <color indexed="63"/>
      </left>
      <right>
        <color indexed="63"/>
      </right>
      <top>
        <color indexed="63"/>
      </top>
      <bottom style="double"/>
    </border>
    <border>
      <left style="thin"/>
      <right style="thin"/>
      <top>
        <color indexed="63"/>
      </top>
      <bottom style="double"/>
    </border>
    <border>
      <left style="thin"/>
      <right>
        <color indexed="63"/>
      </right>
      <top>
        <color indexed="63"/>
      </top>
      <bottom style="double"/>
    </border>
    <border>
      <left style="thin"/>
      <right style="thin"/>
      <top>
        <color indexed="63"/>
      </top>
      <bottom style="thin"/>
    </border>
    <border>
      <left style="thin">
        <color indexed="63"/>
      </left>
      <right style="thin">
        <color indexed="63"/>
      </right>
      <top>
        <color indexed="63"/>
      </top>
      <bottom style="double"/>
    </border>
    <border>
      <left style="thin"/>
      <right style="thin">
        <color indexed="55"/>
      </right>
      <top>
        <color indexed="63"/>
      </top>
      <bottom style="double"/>
    </border>
    <border>
      <left style="thin">
        <color indexed="55"/>
      </left>
      <right style="thin">
        <color indexed="55"/>
      </right>
      <top>
        <color indexed="63"/>
      </top>
      <bottom style="double"/>
    </border>
    <border>
      <left style="thin"/>
      <right style="thin">
        <color indexed="55"/>
      </right>
      <top style="double"/>
      <bottom style="thin">
        <color indexed="55"/>
      </bottom>
    </border>
    <border>
      <left style="thin">
        <color indexed="55"/>
      </left>
      <right style="thin">
        <color indexed="55"/>
      </right>
      <top style="double"/>
      <bottom style="thin">
        <color indexed="55"/>
      </bottom>
    </border>
    <border>
      <left style="thin"/>
      <right style="thin">
        <color indexed="55"/>
      </right>
      <top style="thin">
        <color indexed="55"/>
      </top>
      <bottom style="thin">
        <color indexed="55"/>
      </bottom>
    </border>
    <border>
      <left style="thin">
        <color indexed="55"/>
      </left>
      <right style="thin">
        <color indexed="55"/>
      </right>
      <top style="thin">
        <color indexed="55"/>
      </top>
      <bottom style="thin">
        <color indexed="55"/>
      </bottom>
    </border>
    <border>
      <left>
        <color indexed="63"/>
      </left>
      <right>
        <color indexed="63"/>
      </right>
      <top style="double"/>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style="thin"/>
      <bottom style="thin"/>
    </border>
    <border>
      <left>
        <color indexed="63"/>
      </left>
      <right style="thin">
        <color indexed="55"/>
      </right>
      <top style="thin">
        <color indexed="55"/>
      </top>
      <bottom style="thin">
        <color indexed="55"/>
      </bottom>
    </border>
    <border>
      <left style="thin"/>
      <right style="thin">
        <color indexed="55"/>
      </right>
      <top style="thin">
        <color indexed="55"/>
      </top>
      <bottom>
        <color indexed="63"/>
      </bottom>
    </border>
    <border>
      <left style="thin"/>
      <right style="thin"/>
      <top>
        <color indexed="63"/>
      </top>
      <bottom>
        <color indexed="63"/>
      </bottom>
    </border>
    <border>
      <left style="thin">
        <color indexed="63"/>
      </left>
      <right style="thin">
        <color indexed="63"/>
      </right>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21"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0" fillId="23" borderId="7" applyNumberFormat="0" applyFont="0" applyAlignment="0" applyProtection="0"/>
    <xf numFmtId="0" fontId="17" fillId="20" borderId="8" applyNumberFormat="0" applyAlignment="0" applyProtection="0"/>
    <xf numFmtId="9" fontId="0" fillId="0" borderId="0" applyFont="0" applyFill="0" applyBorder="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cellStyleXfs>
  <cellXfs count="95">
    <xf numFmtId="0" fontId="0" fillId="0" borderId="0" xfId="0" applyAlignment="1">
      <alignment/>
    </xf>
    <xf numFmtId="49" fontId="0" fillId="0" borderId="0" xfId="0" applyNumberFormat="1" applyAlignment="1">
      <alignment/>
    </xf>
    <xf numFmtId="0" fontId="0" fillId="0" borderId="0" xfId="0" applyFont="1" applyAlignment="1">
      <alignment/>
    </xf>
    <xf numFmtId="0" fontId="0" fillId="0" borderId="0" xfId="0" applyFill="1" applyAlignment="1">
      <alignment/>
    </xf>
    <xf numFmtId="0" fontId="0" fillId="0" borderId="0" xfId="0" applyFont="1" applyFill="1" applyAlignment="1">
      <alignment/>
    </xf>
    <xf numFmtId="2" fontId="0" fillId="0" borderId="0" xfId="0" applyNumberFormat="1" applyFill="1" applyAlignment="1">
      <alignment/>
    </xf>
    <xf numFmtId="171" fontId="0" fillId="0" borderId="0" xfId="0" applyNumberFormat="1" applyFont="1" applyFill="1" applyAlignment="1">
      <alignment/>
    </xf>
    <xf numFmtId="2" fontId="0" fillId="0" borderId="0" xfId="0" applyNumberFormat="1" applyFont="1" applyFill="1" applyAlignment="1">
      <alignment/>
    </xf>
    <xf numFmtId="11" fontId="0" fillId="0" borderId="0" xfId="0" applyNumberFormat="1" applyFill="1" applyAlignment="1">
      <alignment/>
    </xf>
    <xf numFmtId="171" fontId="0" fillId="0" borderId="0" xfId="0" applyNumberFormat="1" applyFill="1" applyAlignment="1">
      <alignment/>
    </xf>
    <xf numFmtId="0" fontId="0" fillId="0" borderId="0" xfId="0" applyFont="1" applyAlignment="1">
      <alignment/>
    </xf>
    <xf numFmtId="2" fontId="0" fillId="0" borderId="0" xfId="0" applyNumberFormat="1" applyAlignment="1">
      <alignment/>
    </xf>
    <xf numFmtId="0" fontId="0" fillId="0" borderId="0" xfId="0" applyAlignment="1">
      <alignment horizontal="right"/>
    </xf>
    <xf numFmtId="0" fontId="0" fillId="0" borderId="0" xfId="0" applyAlignment="1">
      <alignment horizontal="center"/>
    </xf>
    <xf numFmtId="49" fontId="0" fillId="0" borderId="0" xfId="0" applyNumberFormat="1" applyAlignment="1">
      <alignment horizontal="center"/>
    </xf>
    <xf numFmtId="49" fontId="0" fillId="0" borderId="0" xfId="0" applyNumberFormat="1" applyBorder="1" applyAlignment="1">
      <alignment horizontal="center"/>
    </xf>
    <xf numFmtId="2" fontId="0" fillId="3" borderId="10" xfId="0" applyNumberFormat="1" applyFill="1" applyBorder="1" applyAlignment="1">
      <alignment horizontal="center"/>
    </xf>
    <xf numFmtId="2" fontId="0" fillId="4" borderId="10" xfId="0" applyNumberFormat="1" applyFill="1" applyBorder="1" applyAlignment="1">
      <alignment horizontal="center"/>
    </xf>
    <xf numFmtId="0" fontId="0" fillId="22" borderId="0" xfId="0" applyFill="1" applyAlignment="1">
      <alignment/>
    </xf>
    <xf numFmtId="2" fontId="0" fillId="22" borderId="0" xfId="0" applyNumberFormat="1" applyFill="1" applyAlignment="1">
      <alignment/>
    </xf>
    <xf numFmtId="172" fontId="0" fillId="0" borderId="0" xfId="0" applyNumberFormat="1" applyFont="1" applyFill="1" applyAlignment="1">
      <alignment/>
    </xf>
    <xf numFmtId="172" fontId="0" fillId="0" borderId="0" xfId="0" applyNumberFormat="1" applyFill="1" applyAlignment="1">
      <alignment/>
    </xf>
    <xf numFmtId="0" fontId="0" fillId="24" borderId="0" xfId="0" applyFill="1" applyAlignment="1">
      <alignment/>
    </xf>
    <xf numFmtId="0" fontId="0" fillId="25" borderId="0" xfId="0" applyFill="1" applyAlignment="1">
      <alignment/>
    </xf>
    <xf numFmtId="0" fontId="0" fillId="22" borderId="0" xfId="0" applyFont="1" applyFill="1" applyAlignment="1">
      <alignment/>
    </xf>
    <xf numFmtId="2" fontId="0" fillId="22" borderId="0" xfId="0" applyNumberFormat="1" applyFont="1" applyFill="1" applyAlignment="1">
      <alignment/>
    </xf>
    <xf numFmtId="0" fontId="2" fillId="0" borderId="0" xfId="0" applyFont="1" applyAlignment="1">
      <alignment/>
    </xf>
    <xf numFmtId="0" fontId="3" fillId="0" borderId="0" xfId="0" applyFont="1" applyAlignment="1">
      <alignment/>
    </xf>
    <xf numFmtId="0" fontId="22" fillId="0" borderId="0" xfId="0" applyFont="1" applyAlignment="1">
      <alignment/>
    </xf>
    <xf numFmtId="0" fontId="24" fillId="0" borderId="0" xfId="0" applyFont="1" applyAlignment="1">
      <alignment/>
    </xf>
    <xf numFmtId="0" fontId="22" fillId="0" borderId="0" xfId="0" applyFont="1" applyFill="1" applyAlignment="1">
      <alignment/>
    </xf>
    <xf numFmtId="0" fontId="22" fillId="0" borderId="0" xfId="0" applyFont="1" applyAlignment="1">
      <alignment horizontal="right"/>
    </xf>
    <xf numFmtId="0" fontId="25" fillId="0" borderId="0" xfId="0" applyFont="1" applyAlignment="1">
      <alignment horizontal="left"/>
    </xf>
    <xf numFmtId="0" fontId="25" fillId="0" borderId="0" xfId="0" applyFont="1" applyBorder="1" applyAlignment="1">
      <alignment horizontal="left"/>
    </xf>
    <xf numFmtId="0" fontId="1" fillId="0" borderId="0" xfId="0" applyFont="1" applyFill="1" applyAlignment="1">
      <alignment/>
    </xf>
    <xf numFmtId="0" fontId="26" fillId="0" borderId="0" xfId="0" applyFont="1" applyAlignment="1">
      <alignment/>
    </xf>
    <xf numFmtId="11" fontId="22" fillId="0" borderId="0" xfId="0" applyNumberFormat="1" applyFont="1" applyAlignment="1">
      <alignment horizontal="right"/>
    </xf>
    <xf numFmtId="181" fontId="22" fillId="0" borderId="11" xfId="0" applyNumberFormat="1" applyFont="1" applyBorder="1" applyAlignment="1">
      <alignment horizontal="center"/>
    </xf>
    <xf numFmtId="0" fontId="27" fillId="0" borderId="11" xfId="0" applyFont="1" applyBorder="1" applyAlignment="1">
      <alignment horizontal="center"/>
    </xf>
    <xf numFmtId="0" fontId="0" fillId="0" borderId="11" xfId="0" applyBorder="1" applyAlignment="1">
      <alignment horizontal="center"/>
    </xf>
    <xf numFmtId="0" fontId="25" fillId="0" borderId="0" xfId="0" applyFont="1" applyAlignment="1">
      <alignment/>
    </xf>
    <xf numFmtId="0" fontId="27" fillId="0" borderId="12" xfId="0" applyFont="1" applyBorder="1" applyAlignment="1">
      <alignment horizontal="center"/>
    </xf>
    <xf numFmtId="0" fontId="27" fillId="0" borderId="13" xfId="0" applyFont="1" applyFill="1" applyBorder="1" applyAlignment="1">
      <alignment horizontal="center"/>
    </xf>
    <xf numFmtId="0" fontId="0" fillId="23" borderId="14" xfId="0" applyFont="1" applyFill="1" applyBorder="1" applyAlignment="1">
      <alignment horizontal="center"/>
    </xf>
    <xf numFmtId="0" fontId="22" fillId="23" borderId="14" xfId="0" applyFont="1" applyFill="1" applyBorder="1" applyAlignment="1">
      <alignment/>
    </xf>
    <xf numFmtId="0" fontId="22" fillId="0" borderId="0" xfId="0" applyFont="1" applyBorder="1" applyAlignment="1">
      <alignment horizontal="right"/>
    </xf>
    <xf numFmtId="0" fontId="29" fillId="0" borderId="0" xfId="0" applyFont="1" applyAlignment="1">
      <alignment horizontal="center"/>
    </xf>
    <xf numFmtId="2" fontId="22" fillId="0" borderId="0" xfId="0" applyNumberFormat="1" applyFont="1" applyAlignment="1">
      <alignment/>
    </xf>
    <xf numFmtId="181" fontId="22" fillId="0" borderId="0" xfId="0" applyNumberFormat="1" applyFont="1" applyAlignment="1">
      <alignment/>
    </xf>
    <xf numFmtId="0" fontId="28" fillId="0" borderId="0" xfId="0" applyFont="1" applyAlignment="1">
      <alignment/>
    </xf>
    <xf numFmtId="181" fontId="27" fillId="0" borderId="15" xfId="0" applyNumberFormat="1" applyFont="1" applyBorder="1" applyAlignment="1">
      <alignment horizontal="center"/>
    </xf>
    <xf numFmtId="0" fontId="27" fillId="0" borderId="16" xfId="0" applyFont="1" applyFill="1" applyBorder="1" applyAlignment="1">
      <alignment horizontal="center"/>
    </xf>
    <xf numFmtId="0" fontId="27" fillId="0" borderId="17" xfId="0" applyFont="1" applyBorder="1" applyAlignment="1">
      <alignment horizontal="center"/>
    </xf>
    <xf numFmtId="0" fontId="35" fillId="0" borderId="17" xfId="0" applyFont="1" applyBorder="1" applyAlignment="1">
      <alignment horizontal="center"/>
    </xf>
    <xf numFmtId="0" fontId="34" fillId="0" borderId="17" xfId="0" applyFont="1" applyBorder="1" applyAlignment="1">
      <alignment horizontal="center"/>
    </xf>
    <xf numFmtId="0" fontId="37" fillId="0" borderId="0" xfId="0" applyFont="1" applyBorder="1" applyAlignment="1">
      <alignment horizontal="center"/>
    </xf>
    <xf numFmtId="0" fontId="30" fillId="0" borderId="11" xfId="0" applyFont="1" applyBorder="1" applyAlignment="1">
      <alignment horizontal="center"/>
    </xf>
    <xf numFmtId="171" fontId="22" fillId="0" borderId="18" xfId="0" applyNumberFormat="1" applyFont="1" applyBorder="1" applyAlignment="1">
      <alignment/>
    </xf>
    <xf numFmtId="171" fontId="22" fillId="0" borderId="19" xfId="0" applyNumberFormat="1" applyFont="1" applyBorder="1" applyAlignment="1">
      <alignment/>
    </xf>
    <xf numFmtId="181" fontId="22" fillId="0" borderId="18" xfId="0" applyNumberFormat="1" applyFont="1" applyFill="1" applyBorder="1" applyAlignment="1">
      <alignment/>
    </xf>
    <xf numFmtId="181" fontId="22" fillId="0" borderId="19" xfId="0" applyNumberFormat="1" applyFont="1" applyBorder="1" applyAlignment="1">
      <alignment horizontal="right"/>
    </xf>
    <xf numFmtId="181" fontId="22" fillId="0" borderId="19" xfId="0" applyNumberFormat="1" applyFont="1" applyBorder="1" applyAlignment="1">
      <alignment/>
    </xf>
    <xf numFmtId="181" fontId="25" fillId="0" borderId="0" xfId="0" applyNumberFormat="1" applyFont="1" applyAlignment="1">
      <alignment horizontal="left"/>
    </xf>
    <xf numFmtId="181" fontId="25" fillId="0" borderId="0" xfId="0" applyNumberFormat="1" applyFont="1" applyBorder="1" applyAlignment="1">
      <alignment horizontal="left"/>
    </xf>
    <xf numFmtId="171" fontId="22" fillId="0" borderId="20" xfId="0" applyNumberFormat="1" applyFont="1" applyBorder="1" applyAlignment="1">
      <alignment/>
    </xf>
    <xf numFmtId="171" fontId="22" fillId="0" borderId="21" xfId="0" applyNumberFormat="1" applyFont="1" applyBorder="1" applyAlignment="1">
      <alignment/>
    </xf>
    <xf numFmtId="181" fontId="22" fillId="0" borderId="20" xfId="0" applyNumberFormat="1" applyFont="1" applyFill="1" applyBorder="1" applyAlignment="1">
      <alignment/>
    </xf>
    <xf numFmtId="181" fontId="22" fillId="0" borderId="21" xfId="0" applyNumberFormat="1" applyFont="1" applyBorder="1" applyAlignment="1">
      <alignment horizontal="right"/>
    </xf>
    <xf numFmtId="181" fontId="22" fillId="0" borderId="21" xfId="0" applyNumberFormat="1" applyFont="1" applyBorder="1" applyAlignment="1">
      <alignment/>
    </xf>
    <xf numFmtId="171" fontId="22" fillId="0" borderId="0" xfId="0" applyNumberFormat="1" applyFont="1" applyAlignment="1">
      <alignment/>
    </xf>
    <xf numFmtId="181" fontId="22" fillId="0" borderId="0" xfId="0" applyNumberFormat="1" applyFont="1" applyFill="1" applyBorder="1" applyAlignment="1">
      <alignment/>
    </xf>
    <xf numFmtId="181" fontId="22" fillId="0" borderId="0" xfId="0" applyNumberFormat="1" applyFont="1" applyAlignment="1">
      <alignment horizontal="right"/>
    </xf>
    <xf numFmtId="181" fontId="22" fillId="23" borderId="22" xfId="0" applyNumberFormat="1" applyFont="1" applyFill="1" applyBorder="1" applyAlignment="1">
      <alignment horizontal="center"/>
    </xf>
    <xf numFmtId="0" fontId="28" fillId="0" borderId="11" xfId="0" applyFont="1" applyBorder="1" applyAlignment="1">
      <alignment horizontal="center"/>
    </xf>
    <xf numFmtId="0" fontId="30" fillId="0" borderId="0" xfId="0" applyFont="1" applyBorder="1" applyAlignment="1">
      <alignment horizontal="center"/>
    </xf>
    <xf numFmtId="181" fontId="23" fillId="0" borderId="0" xfId="0" applyNumberFormat="1" applyFont="1" applyAlignment="1">
      <alignment horizontal="center"/>
    </xf>
    <xf numFmtId="0" fontId="24" fillId="0" borderId="0" xfId="0" applyFont="1" applyAlignment="1">
      <alignment horizontal="center"/>
    </xf>
    <xf numFmtId="0" fontId="27" fillId="0" borderId="23" xfId="0" applyFont="1" applyBorder="1" applyAlignment="1">
      <alignment horizontal="center"/>
    </xf>
    <xf numFmtId="0" fontId="27" fillId="0" borderId="24" xfId="0" applyFont="1" applyBorder="1" applyAlignment="1">
      <alignment horizontal="center"/>
    </xf>
    <xf numFmtId="181" fontId="22" fillId="4" borderId="25" xfId="0" applyNumberFormat="1" applyFont="1" applyFill="1" applyBorder="1" applyAlignment="1">
      <alignment/>
    </xf>
    <xf numFmtId="0" fontId="40" fillId="23" borderId="0" xfId="0" applyFont="1" applyFill="1" applyAlignment="1">
      <alignment horizontal="center"/>
    </xf>
    <xf numFmtId="171" fontId="22" fillId="0" borderId="26" xfId="0" applyNumberFormat="1" applyFont="1" applyBorder="1" applyAlignment="1">
      <alignment/>
    </xf>
    <xf numFmtId="171" fontId="22" fillId="0" borderId="27" xfId="0" applyNumberFormat="1" applyFont="1" applyBorder="1" applyAlignment="1">
      <alignment/>
    </xf>
    <xf numFmtId="171" fontId="22" fillId="0" borderId="0" xfId="0" applyNumberFormat="1" applyFont="1" applyBorder="1" applyAlignment="1">
      <alignment/>
    </xf>
    <xf numFmtId="2" fontId="22" fillId="0" borderId="0" xfId="0" applyNumberFormat="1" applyFont="1" applyBorder="1" applyAlignment="1">
      <alignment/>
    </xf>
    <xf numFmtId="181" fontId="22" fillId="0" borderId="26" xfId="0" applyNumberFormat="1" applyFont="1" applyBorder="1" applyAlignment="1">
      <alignment horizontal="right"/>
    </xf>
    <xf numFmtId="181" fontId="22" fillId="0" borderId="27" xfId="0" applyNumberFormat="1" applyFont="1" applyFill="1" applyBorder="1" applyAlignment="1">
      <alignment/>
    </xf>
    <xf numFmtId="0" fontId="22" fillId="0" borderId="0" xfId="0" applyFont="1" applyBorder="1" applyAlignment="1">
      <alignment/>
    </xf>
    <xf numFmtId="0" fontId="27" fillId="0" borderId="28" xfId="0" applyFont="1" applyBorder="1" applyAlignment="1">
      <alignment horizontal="center"/>
    </xf>
    <xf numFmtId="2" fontId="27" fillId="0" borderId="29" xfId="0" applyNumberFormat="1" applyFont="1" applyBorder="1" applyAlignment="1">
      <alignment horizontal="center"/>
    </xf>
    <xf numFmtId="0" fontId="0" fillId="0" borderId="0" xfId="0" applyFill="1" applyAlignment="1">
      <alignment/>
    </xf>
    <xf numFmtId="2" fontId="0" fillId="4" borderId="0" xfId="0" applyNumberFormat="1" applyFill="1" applyAlignment="1">
      <alignment/>
    </xf>
    <xf numFmtId="0" fontId="21" fillId="0" borderId="0" xfId="52" applyAlignment="1">
      <alignment/>
    </xf>
    <xf numFmtId="0" fontId="0" fillId="8" borderId="25" xfId="0" applyFill="1" applyBorder="1" applyAlignment="1">
      <alignment/>
    </xf>
    <xf numFmtId="17" fontId="0" fillId="0" borderId="0" xfId="0" applyNumberFormat="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image" Target="../media/image2.emf"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scatterChart>
        <c:scatterStyle val="lineMarker"/>
        <c:varyColors val="0"/>
        <c:ser>
          <c:idx val="1"/>
          <c:order val="0"/>
          <c:tx>
            <c:strRef>
              <c:f>'Smith Chart'!$B$4:$D$4</c:f>
              <c:strCache>
                <c:ptCount val="1"/>
                <c:pt idx="0">
                  <c:v>Tullamore</c:v>
                </c:pt>
              </c:strCache>
            </c:strRef>
          </c:tx>
          <c:spPr>
            <a:ln w="381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'Smith Chart'!$C$7:$C$19</c:f>
              <c:numCache/>
            </c:numRef>
          </c:xVal>
          <c:yVal>
            <c:numRef>
              <c:f>'Smith Chart'!$D$7:$D$19</c:f>
              <c:numCache/>
            </c:numRef>
          </c:yVal>
          <c:smooth val="0"/>
        </c:ser>
        <c:ser>
          <c:idx val="2"/>
          <c:order val="1"/>
          <c:tx>
            <c:v>1+j0</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FF00"/>
              </a:solidFill>
              <a:ln>
                <a:solidFill>
                  <a:srgbClr val="00FF00"/>
                </a:solidFill>
              </a:ln>
            </c:spPr>
          </c:marker>
          <c:xVal>
            <c:numRef>
              <c:f>'Smith Chart'!$I$5</c:f>
              <c:numCache/>
            </c:numRef>
          </c:xVal>
          <c:yVal>
            <c:numRef>
              <c:f>'Smith Chart'!$H$5</c:f>
              <c:numCache/>
            </c:numRef>
          </c:yVal>
          <c:smooth val="0"/>
        </c:ser>
        <c:ser>
          <c:idx val="3"/>
          <c:order val="2"/>
          <c:tx>
            <c:v>-1+j0</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8000"/>
              </a:solidFill>
              <a:ln>
                <a:solidFill>
                  <a:srgbClr val="008000"/>
                </a:solidFill>
              </a:ln>
            </c:spPr>
          </c:marker>
          <c:xVal>
            <c:numRef>
              <c:f>'Smith Chart'!$G$5</c:f>
              <c:numCache/>
            </c:numRef>
          </c:xVal>
          <c:yVal>
            <c:numRef>
              <c:f>'Smith Chart'!$H$5</c:f>
              <c:numCache/>
            </c:numRef>
          </c:yVal>
          <c:smooth val="0"/>
        </c:ser>
        <c:ser>
          <c:idx val="4"/>
          <c:order val="3"/>
          <c:tx>
            <c:v>0-j1</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FF0000"/>
              </a:solidFill>
              <a:ln>
                <a:solidFill>
                  <a:srgbClr val="FF0000"/>
                </a:solidFill>
              </a:ln>
            </c:spPr>
          </c:marker>
          <c:xVal>
            <c:numRef>
              <c:f>'Smith Chart'!$H$5</c:f>
              <c:numCache/>
            </c:numRef>
          </c:xVal>
          <c:yVal>
            <c:numRef>
              <c:f>'Smith Chart'!$G$5</c:f>
              <c:numCache/>
            </c:numRef>
          </c:yVal>
          <c:smooth val="0"/>
        </c:ser>
        <c:ser>
          <c:idx val="5"/>
          <c:order val="4"/>
          <c:tx>
            <c:v>0+j1</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993366"/>
              </a:solidFill>
              <a:ln>
                <a:solidFill>
                  <a:srgbClr val="993366"/>
                </a:solidFill>
              </a:ln>
            </c:spPr>
          </c:marker>
          <c:xVal>
            <c:numRef>
              <c:f>'Smith Chart'!$H$5</c:f>
              <c:numCache/>
            </c:numRef>
          </c:xVal>
          <c:yVal>
            <c:numRef>
              <c:f>'Smith Chart'!$I$5</c:f>
              <c:numCache/>
            </c:numRef>
          </c:yVal>
          <c:smooth val="0"/>
        </c:ser>
        <c:ser>
          <c:idx val="6"/>
          <c:order val="5"/>
          <c:tx>
            <c:v>0+j0</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FF"/>
              </a:solidFill>
              <a:ln>
                <a:solidFill>
                  <a:srgbClr val="0000FF"/>
                </a:solidFill>
              </a:ln>
            </c:spPr>
          </c:marker>
          <c:xVal>
            <c:numRef>
              <c:f>'Smith Chart'!$H$5</c:f>
              <c:numCache/>
            </c:numRef>
          </c:xVal>
          <c:yVal>
            <c:numRef>
              <c:f>'Smith Chart'!$H$5</c:f>
              <c:numCache/>
            </c:numRef>
          </c:yVal>
          <c:smooth val="0"/>
        </c:ser>
        <c:axId val="12032230"/>
        <c:axId val="41181207"/>
      </c:scatterChart>
      <c:valAx>
        <c:axId val="12032230"/>
        <c:scaling>
          <c:orientation val="minMax"/>
          <c:max val="1.02"/>
          <c:min val="-1.02"/>
        </c:scaling>
        <c:axPos val="b"/>
        <c:delete val="1"/>
        <c:majorTickMark val="out"/>
        <c:minorTickMark val="none"/>
        <c:tickLblPos val="none"/>
        <c:crossAx val="41181207"/>
        <c:crosses val="autoZero"/>
        <c:crossBetween val="midCat"/>
        <c:dispUnits/>
        <c:majorUnit val="4"/>
        <c:minorUnit val="4"/>
      </c:valAx>
      <c:valAx>
        <c:axId val="41181207"/>
        <c:scaling>
          <c:orientation val="minMax"/>
          <c:max val="1.02"/>
          <c:min val="-1.02"/>
        </c:scaling>
        <c:axPos val="l"/>
        <c:delete val="1"/>
        <c:majorTickMark val="none"/>
        <c:minorTickMark val="none"/>
        <c:tickLblPos val="none"/>
        <c:crossAx val="12032230"/>
        <c:crosses val="autoZero"/>
        <c:crossBetween val="midCat"/>
        <c:dispUnits/>
        <c:majorUnit val="4"/>
        <c:minorUnit val="4"/>
      </c:valAx>
      <c:spPr>
        <a:blipFill>
          <a:blip r:embed="rId1"/>
          <a:srcRect/>
          <a:stretch>
            <a:fillRect/>
          </a:stretch>
        </a:blipFill>
        <a:ln w="3175">
          <a:noFill/>
        </a:ln>
      </c:spPr>
    </c:plotArea>
    <c:legend>
      <c:legendPos val="r"/>
      <c:layout>
        <c:manualLayout>
          <c:xMode val="edge"/>
          <c:yMode val="edge"/>
          <c:x val="0"/>
          <c:y val="0"/>
          <c:w val="0.22875"/>
          <c:h val="0.171"/>
        </c:manualLayout>
      </c:layout>
      <c:overlay val="0"/>
      <c:spPr>
        <a:noFill/>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276225</xdr:colOff>
      <xdr:row>22</xdr:row>
      <xdr:rowOff>47625</xdr:rowOff>
    </xdr:from>
    <xdr:to>
      <xdr:col>17</xdr:col>
      <xdr:colOff>323850</xdr:colOff>
      <xdr:row>22</xdr:row>
      <xdr:rowOff>66675</xdr:rowOff>
    </xdr:to>
    <xdr:sp>
      <xdr:nvSpPr>
        <xdr:cNvPr id="1" name="Straight Connector 9"/>
        <xdr:cNvSpPr>
          <a:spLocks/>
        </xdr:cNvSpPr>
      </xdr:nvSpPr>
      <xdr:spPr>
        <a:xfrm>
          <a:off x="8153400" y="4505325"/>
          <a:ext cx="3924300" cy="19050"/>
        </a:xfrm>
        <a:prstGeom prst="line">
          <a:avLst/>
        </a:prstGeom>
        <a:noFill/>
        <a:ln w="381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17</xdr:col>
      <xdr:colOff>276225</xdr:colOff>
      <xdr:row>12</xdr:row>
      <xdr:rowOff>104775</xdr:rowOff>
    </xdr:from>
    <xdr:to>
      <xdr:col>17</xdr:col>
      <xdr:colOff>276225</xdr:colOff>
      <xdr:row>13</xdr:row>
      <xdr:rowOff>152400</xdr:rowOff>
    </xdr:to>
    <xdr:sp>
      <xdr:nvSpPr>
        <xdr:cNvPr id="2" name="Straight Connector 10"/>
        <xdr:cNvSpPr>
          <a:spLocks/>
        </xdr:cNvSpPr>
      </xdr:nvSpPr>
      <xdr:spPr>
        <a:xfrm rot="5400000" flipH="1" flipV="1">
          <a:off x="12030075" y="2876550"/>
          <a:ext cx="0" cy="219075"/>
        </a:xfrm>
        <a:prstGeom prst="line">
          <a:avLst/>
        </a:prstGeom>
        <a:noFill/>
        <a:ln w="381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295275</xdr:colOff>
      <xdr:row>19</xdr:row>
      <xdr:rowOff>0</xdr:rowOff>
    </xdr:from>
    <xdr:to>
      <xdr:col>11</xdr:col>
      <xdr:colOff>295275</xdr:colOff>
      <xdr:row>22</xdr:row>
      <xdr:rowOff>47625</xdr:rowOff>
    </xdr:to>
    <xdr:sp>
      <xdr:nvSpPr>
        <xdr:cNvPr id="3" name="Straight Connector 13"/>
        <xdr:cNvSpPr>
          <a:spLocks/>
        </xdr:cNvSpPr>
      </xdr:nvSpPr>
      <xdr:spPr>
        <a:xfrm rot="5400000" flipH="1" flipV="1">
          <a:off x="8172450" y="3971925"/>
          <a:ext cx="0" cy="533400"/>
        </a:xfrm>
        <a:prstGeom prst="line">
          <a:avLst/>
        </a:prstGeom>
        <a:noFill/>
        <a:ln w="381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16</xdr:col>
      <xdr:colOff>266700</xdr:colOff>
      <xdr:row>12</xdr:row>
      <xdr:rowOff>104775</xdr:rowOff>
    </xdr:from>
    <xdr:to>
      <xdr:col>17</xdr:col>
      <xdr:colOff>266700</xdr:colOff>
      <xdr:row>12</xdr:row>
      <xdr:rowOff>104775</xdr:rowOff>
    </xdr:to>
    <xdr:sp>
      <xdr:nvSpPr>
        <xdr:cNvPr id="4" name="Straight Connector 20"/>
        <xdr:cNvSpPr>
          <a:spLocks/>
        </xdr:cNvSpPr>
      </xdr:nvSpPr>
      <xdr:spPr>
        <a:xfrm>
          <a:off x="11410950" y="2876550"/>
          <a:ext cx="609600" cy="0"/>
        </a:xfrm>
        <a:prstGeom prst="line">
          <a:avLst/>
        </a:prstGeom>
        <a:noFill/>
        <a:ln w="381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17</xdr:col>
      <xdr:colOff>276225</xdr:colOff>
      <xdr:row>15</xdr:row>
      <xdr:rowOff>0</xdr:rowOff>
    </xdr:from>
    <xdr:to>
      <xdr:col>17</xdr:col>
      <xdr:colOff>276225</xdr:colOff>
      <xdr:row>16</xdr:row>
      <xdr:rowOff>19050</xdr:rowOff>
    </xdr:to>
    <xdr:sp>
      <xdr:nvSpPr>
        <xdr:cNvPr id="5" name="Straight Connector 24"/>
        <xdr:cNvSpPr>
          <a:spLocks/>
        </xdr:cNvSpPr>
      </xdr:nvSpPr>
      <xdr:spPr>
        <a:xfrm rot="5400000" flipH="1" flipV="1">
          <a:off x="12030075" y="3286125"/>
          <a:ext cx="0" cy="190500"/>
        </a:xfrm>
        <a:prstGeom prst="line">
          <a:avLst/>
        </a:prstGeom>
        <a:noFill/>
        <a:ln w="381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314325</xdr:colOff>
      <xdr:row>12</xdr:row>
      <xdr:rowOff>76200</xdr:rowOff>
    </xdr:from>
    <xdr:to>
      <xdr:col>11</xdr:col>
      <xdr:colOff>314325</xdr:colOff>
      <xdr:row>17</xdr:row>
      <xdr:rowOff>142875</xdr:rowOff>
    </xdr:to>
    <xdr:sp>
      <xdr:nvSpPr>
        <xdr:cNvPr id="6" name="Straight Connector 29"/>
        <xdr:cNvSpPr>
          <a:spLocks/>
        </xdr:cNvSpPr>
      </xdr:nvSpPr>
      <xdr:spPr>
        <a:xfrm rot="5400000" flipH="1" flipV="1">
          <a:off x="8191500" y="2847975"/>
          <a:ext cx="0" cy="923925"/>
        </a:xfrm>
        <a:prstGeom prst="line">
          <a:avLst/>
        </a:prstGeom>
        <a:noFill/>
        <a:ln w="381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342900</xdr:colOff>
      <xdr:row>7</xdr:row>
      <xdr:rowOff>38100</xdr:rowOff>
    </xdr:from>
    <xdr:to>
      <xdr:col>9</xdr:col>
      <xdr:colOff>342900</xdr:colOff>
      <xdr:row>12</xdr:row>
      <xdr:rowOff>38100</xdr:rowOff>
    </xdr:to>
    <xdr:sp>
      <xdr:nvSpPr>
        <xdr:cNvPr id="7" name="Straight Connector 32"/>
        <xdr:cNvSpPr>
          <a:spLocks/>
        </xdr:cNvSpPr>
      </xdr:nvSpPr>
      <xdr:spPr>
        <a:xfrm rot="5400000" flipH="1" flipV="1">
          <a:off x="6991350" y="1990725"/>
          <a:ext cx="0" cy="819150"/>
        </a:xfrm>
        <a:prstGeom prst="line">
          <a:avLst/>
        </a:prstGeom>
        <a:noFill/>
        <a:ln w="381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171450</xdr:colOff>
      <xdr:row>6</xdr:row>
      <xdr:rowOff>114300</xdr:rowOff>
    </xdr:from>
    <xdr:to>
      <xdr:col>9</xdr:col>
      <xdr:colOff>542925</xdr:colOff>
      <xdr:row>8</xdr:row>
      <xdr:rowOff>95250</xdr:rowOff>
    </xdr:to>
    <xdr:sp>
      <xdr:nvSpPr>
        <xdr:cNvPr id="8" name="Isosceles Triangle 34"/>
        <xdr:cNvSpPr>
          <a:spLocks/>
        </xdr:cNvSpPr>
      </xdr:nvSpPr>
      <xdr:spPr>
        <a:xfrm flipV="1">
          <a:off x="6819900" y="1905000"/>
          <a:ext cx="371475" cy="304800"/>
        </a:xfrm>
        <a:prstGeom prst="triangle">
          <a:avLst/>
        </a:prstGeom>
        <a:solidFill>
          <a:srgbClr val="4F81BD"/>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1</xdr:col>
      <xdr:colOff>0</xdr:colOff>
      <xdr:row>0</xdr:row>
      <xdr:rowOff>0</xdr:rowOff>
    </xdr:from>
    <xdr:to>
      <xdr:col>3</xdr:col>
      <xdr:colOff>457200</xdr:colOff>
      <xdr:row>1</xdr:row>
      <xdr:rowOff>9525</xdr:rowOff>
    </xdr:to>
    <xdr:pic>
      <xdr:nvPicPr>
        <xdr:cNvPr id="9" name="Picture 19" descr="totallogo bigger"/>
        <xdr:cNvPicPr preferRelativeResize="1">
          <a:picLocks noChangeAspect="1"/>
        </xdr:cNvPicPr>
      </xdr:nvPicPr>
      <xdr:blipFill>
        <a:blip r:embed="rId1"/>
        <a:stretch>
          <a:fillRect/>
        </a:stretch>
      </xdr:blipFill>
      <xdr:spPr>
        <a:xfrm>
          <a:off x="352425" y="0"/>
          <a:ext cx="2238375" cy="781050"/>
        </a:xfrm>
        <a:prstGeom prst="rect">
          <a:avLst/>
        </a:prstGeom>
        <a:noFill/>
        <a:ln w="9525" cmpd="sng">
          <a:noFill/>
        </a:ln>
      </xdr:spPr>
    </xdr:pic>
    <xdr:clientData/>
  </xdr:twoCellAnchor>
  <xdr:twoCellAnchor>
    <xdr:from>
      <xdr:col>17</xdr:col>
      <xdr:colOff>323850</xdr:colOff>
      <xdr:row>17</xdr:row>
      <xdr:rowOff>47625</xdr:rowOff>
    </xdr:from>
    <xdr:to>
      <xdr:col>17</xdr:col>
      <xdr:colOff>333375</xdr:colOff>
      <xdr:row>22</xdr:row>
      <xdr:rowOff>76200</xdr:rowOff>
    </xdr:to>
    <xdr:sp>
      <xdr:nvSpPr>
        <xdr:cNvPr id="10" name="Straight Connector 22"/>
        <xdr:cNvSpPr>
          <a:spLocks/>
        </xdr:cNvSpPr>
      </xdr:nvSpPr>
      <xdr:spPr>
        <a:xfrm rot="5400000" flipH="1" flipV="1">
          <a:off x="12077700" y="3676650"/>
          <a:ext cx="9525" cy="857250"/>
        </a:xfrm>
        <a:prstGeom prst="line">
          <a:avLst/>
        </a:prstGeom>
        <a:noFill/>
        <a:ln w="381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228600</xdr:colOff>
      <xdr:row>12</xdr:row>
      <xdr:rowOff>76200</xdr:rowOff>
    </xdr:from>
    <xdr:to>
      <xdr:col>12</xdr:col>
      <xdr:colOff>819150</xdr:colOff>
      <xdr:row>12</xdr:row>
      <xdr:rowOff>76200</xdr:rowOff>
    </xdr:to>
    <xdr:sp>
      <xdr:nvSpPr>
        <xdr:cNvPr id="11" name="Straight Connector 39"/>
        <xdr:cNvSpPr>
          <a:spLocks/>
        </xdr:cNvSpPr>
      </xdr:nvSpPr>
      <xdr:spPr>
        <a:xfrm>
          <a:off x="8105775" y="2847975"/>
          <a:ext cx="1200150" cy="0"/>
        </a:xfrm>
        <a:prstGeom prst="line">
          <a:avLst/>
        </a:prstGeom>
        <a:noFill/>
        <a:ln w="381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200025</xdr:colOff>
      <xdr:row>12</xdr:row>
      <xdr:rowOff>66675</xdr:rowOff>
    </xdr:from>
    <xdr:to>
      <xdr:col>14</xdr:col>
      <xdr:colOff>590550</xdr:colOff>
      <xdr:row>12</xdr:row>
      <xdr:rowOff>66675</xdr:rowOff>
    </xdr:to>
    <xdr:sp>
      <xdr:nvSpPr>
        <xdr:cNvPr id="12" name="Straight Connector 43"/>
        <xdr:cNvSpPr>
          <a:spLocks/>
        </xdr:cNvSpPr>
      </xdr:nvSpPr>
      <xdr:spPr>
        <a:xfrm>
          <a:off x="10125075" y="2838450"/>
          <a:ext cx="390525" cy="0"/>
        </a:xfrm>
        <a:prstGeom prst="line">
          <a:avLst/>
        </a:prstGeom>
        <a:noFill/>
        <a:ln w="381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342900</xdr:colOff>
      <xdr:row>12</xdr:row>
      <xdr:rowOff>57150</xdr:rowOff>
    </xdr:from>
    <xdr:to>
      <xdr:col>10</xdr:col>
      <xdr:colOff>0</xdr:colOff>
      <xdr:row>12</xdr:row>
      <xdr:rowOff>57150</xdr:rowOff>
    </xdr:to>
    <xdr:sp>
      <xdr:nvSpPr>
        <xdr:cNvPr id="13" name="Straight Connector 46"/>
        <xdr:cNvSpPr>
          <a:spLocks/>
        </xdr:cNvSpPr>
      </xdr:nvSpPr>
      <xdr:spPr>
        <a:xfrm>
          <a:off x="6991350" y="2828925"/>
          <a:ext cx="266700" cy="0"/>
        </a:xfrm>
        <a:prstGeom prst="line">
          <a:avLst/>
        </a:prstGeom>
        <a:noFill/>
        <a:ln w="381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17</xdr:col>
      <xdr:colOff>276225</xdr:colOff>
      <xdr:row>12</xdr:row>
      <xdr:rowOff>95250</xdr:rowOff>
    </xdr:from>
    <xdr:to>
      <xdr:col>19</xdr:col>
      <xdr:colOff>266700</xdr:colOff>
      <xdr:row>12</xdr:row>
      <xdr:rowOff>95250</xdr:rowOff>
    </xdr:to>
    <xdr:sp>
      <xdr:nvSpPr>
        <xdr:cNvPr id="14" name="Straight Connector 50"/>
        <xdr:cNvSpPr>
          <a:spLocks/>
        </xdr:cNvSpPr>
      </xdr:nvSpPr>
      <xdr:spPr>
        <a:xfrm>
          <a:off x="12030075" y="2867025"/>
          <a:ext cx="1209675" cy="0"/>
        </a:xfrm>
        <a:prstGeom prst="line">
          <a:avLst/>
        </a:prstGeom>
        <a:noFill/>
        <a:ln w="381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3</xdr:col>
      <xdr:colOff>619125</xdr:colOff>
      <xdr:row>322</xdr:row>
      <xdr:rowOff>123825</xdr:rowOff>
    </xdr:from>
    <xdr:ext cx="4914900" cy="2438400"/>
    <xdr:sp>
      <xdr:nvSpPr>
        <xdr:cNvPr id="15" name="TextBox 198"/>
        <xdr:cNvSpPr txBox="1">
          <a:spLocks noChangeArrowheads="1"/>
        </xdr:cNvSpPr>
      </xdr:nvSpPr>
      <xdr:spPr>
        <a:xfrm>
          <a:off x="2752725" y="53159025"/>
          <a:ext cx="4914900" cy="2438400"/>
        </a:xfrm>
        <a:prstGeom prst="rect">
          <a:avLst/>
        </a:prstGeom>
        <a:solidFill>
          <a:srgbClr val="FFFFFF"/>
        </a:solidFill>
        <a:ln w="9525" cmpd="sng">
          <a:solidFill>
            <a:srgbClr val="0000FF"/>
          </a:solidFill>
          <a:headEnd type="none"/>
          <a:tailEnd type="none"/>
        </a:ln>
      </xdr:spPr>
      <xdr:txBody>
        <a:bodyPr vertOverflow="clip" wrap="square" lIns="45720" tIns="18288" rIns="45720" bIns="18288"/>
        <a:p>
          <a:pPr algn="l">
            <a:defRPr/>
          </a:pPr>
          <a:r>
            <a:rPr lang="en-US" cap="none" sz="1000" b="0" i="0" u="none" baseline="0">
              <a:latin typeface="Arial"/>
              <a:ea typeface="Arial"/>
              <a:cs typeface="Arial"/>
            </a:rPr>
            <a:t>Analysis ToolPak Add-In required. Go to the Tools-&gt;Add-Ins… menu selection and checkthe Analysis ToolPak option.
Be sure to only enter data into the yellow shaded areas or risk overwriting formulas.
The points displayed are provided because they are easy to verify visually as a sanity check on the display.
When more impedance points are added, select the chart and then Chart-&gt;Source Data... menu options, then select the Series Data tab. Edit the "X Values:" and "Y Values:" values. Note that if a range is selected that is missing data, the entire chart line will disappear.
This text box will not print, so it can be left here, moved to a different location, or deleted.</a:t>
          </a:r>
        </a:p>
      </xdr:txBody>
    </xdr:sp>
    <xdr:clientData fPrint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142875</xdr:colOff>
      <xdr:row>5</xdr:row>
      <xdr:rowOff>28575</xdr:rowOff>
    </xdr:from>
    <xdr:ext cx="4543425" cy="4572000"/>
    <xdr:graphicFrame>
      <xdr:nvGraphicFramePr>
        <xdr:cNvPr id="1" name="Chart 1"/>
        <xdr:cNvGraphicFramePr/>
      </xdr:nvGraphicFramePr>
      <xdr:xfrm>
        <a:off x="2428875" y="895350"/>
        <a:ext cx="4543425" cy="4572000"/>
      </xdr:xfrm>
      <a:graphic>
        <a:graphicData uri="http://schemas.openxmlformats.org/drawingml/2006/chart">
          <c:chart xmlns:c="http://schemas.openxmlformats.org/drawingml/2006/chart" r:id="rId1"/>
        </a:graphicData>
      </a:graphic>
    </xdr:graphicFrame>
    <xdr:clientData/>
  </xdr:oneCellAnchor>
  <xdr:oneCellAnchor>
    <xdr:from>
      <xdr:col>3</xdr:col>
      <xdr:colOff>676275</xdr:colOff>
      <xdr:row>37</xdr:row>
      <xdr:rowOff>95250</xdr:rowOff>
    </xdr:from>
    <xdr:ext cx="4914900" cy="2457450"/>
    <xdr:sp>
      <xdr:nvSpPr>
        <xdr:cNvPr id="2" name="TextBox 5"/>
        <xdr:cNvSpPr txBox="1">
          <a:spLocks noChangeArrowheads="1"/>
        </xdr:cNvSpPr>
      </xdr:nvSpPr>
      <xdr:spPr>
        <a:xfrm>
          <a:off x="2238375" y="6019800"/>
          <a:ext cx="4914900" cy="2457450"/>
        </a:xfrm>
        <a:prstGeom prst="rect">
          <a:avLst/>
        </a:prstGeom>
        <a:solidFill>
          <a:srgbClr val="FFFFFF"/>
        </a:solidFill>
        <a:ln w="9525" cmpd="sng">
          <a:solidFill>
            <a:srgbClr val="0000FF"/>
          </a:solidFill>
          <a:headEnd type="none"/>
          <a:tailEnd type="none"/>
        </a:ln>
      </xdr:spPr>
      <xdr:txBody>
        <a:bodyPr vertOverflow="clip" wrap="square" lIns="45720" tIns="18288" rIns="45720" bIns="18288"/>
        <a:p>
          <a:pPr algn="l">
            <a:defRPr/>
          </a:pPr>
          <a:r>
            <a:rPr lang="en-US" cap="none" sz="1000" b="0" i="0" u="none" baseline="0">
              <a:latin typeface="Arial"/>
              <a:ea typeface="Arial"/>
              <a:cs typeface="Arial"/>
            </a:rPr>
            <a:t>Analysis ToolPak Add-In required. Go to the Tools-&gt;Add-Ins… menu selection and check the Analysis ToolPak option.
Be sure to only enter data into the yellow shaded areas or risk overwriting formulas.
The points displayed are provided because they are easy to verify visually as a sanity check on the display.
When more impedance points are added, select the chart and then Chart-&gt;Source Data... menu options, then select the Series Data tab. Edit the "X Values:" and "Y Values:" values. Note that if a range is selected that is missing data, the entire chart line will disappear.
This text box will not print, so it can be left here, moved to a different location, or deleted.</a:t>
          </a:r>
        </a:p>
      </xdr:txBody>
    </xdr:sp>
    <xdr:clientData fPrintsWithSheet="0"/>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Joyce\My%20Documents\Antenna%20&amp;%20Coverage%20tools\Smith%20Chart%20Excel\Smith%20Chart%20for%20Excel%20-%20ATU770%20exampl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mith Chart"/>
    </sheetNames>
    <sheetDataSet>
      <sheetData sheetId="0">
        <row r="4">
          <cell r="B4" t="str">
            <v>Enter name</v>
          </cell>
        </row>
        <row r="5">
          <cell r="G5">
            <v>-1</v>
          </cell>
          <cell r="H5">
            <v>0</v>
          </cell>
          <cell r="I5">
            <v>1</v>
          </cell>
        </row>
        <row r="7">
          <cell r="C7">
            <v>-0.0133244919997651</v>
          </cell>
          <cell r="D7">
            <v>0.128217420021385</v>
          </cell>
        </row>
        <row r="8">
          <cell r="C8">
            <v>0.01087976962207</v>
          </cell>
          <cell r="D8">
            <v>0.0947849292436427</v>
          </cell>
        </row>
        <row r="9">
          <cell r="C9">
            <v>0.0128291128052332</v>
          </cell>
          <cell r="D9">
            <v>0.0613374438877335</v>
          </cell>
        </row>
        <row r="10">
          <cell r="C10">
            <v>0.0124306436562356</v>
          </cell>
          <cell r="D10">
            <v>0.0308493393243011</v>
          </cell>
        </row>
        <row r="11">
          <cell r="C11">
            <v>0</v>
          </cell>
          <cell r="D11">
            <v>0</v>
          </cell>
        </row>
        <row r="12">
          <cell r="C12">
            <v>0.0042336234111914</v>
          </cell>
          <cell r="D12">
            <v>-0.0071395318775537</v>
          </cell>
        </row>
        <row r="13">
          <cell r="C13">
            <v>-0.00386710045227736</v>
          </cell>
          <cell r="D13">
            <v>-0.00695380282413484</v>
          </cell>
        </row>
        <row r="14">
          <cell r="C14">
            <v>-0.00423096210772436</v>
          </cell>
          <cell r="D14">
            <v>-0.00937968057407034</v>
          </cell>
        </row>
        <row r="15">
          <cell r="C15">
            <v>0</v>
          </cell>
          <cell r="D15">
            <v>0</v>
          </cell>
        </row>
        <row r="16">
          <cell r="C16">
            <v>-0.00349943739978349</v>
          </cell>
          <cell r="D16">
            <v>0.0106755259297849</v>
          </cell>
        </row>
        <row r="17">
          <cell r="C17">
            <v>0.00429644002238103</v>
          </cell>
          <cell r="D17">
            <v>0.030067588067891</v>
          </cell>
        </row>
        <row r="18">
          <cell r="C18">
            <v>0.130667909528878</v>
          </cell>
          <cell r="D18">
            <v>0.114480895260591</v>
          </cell>
        </row>
        <row r="19">
          <cell r="C19">
            <v>0.0876684970884736</v>
          </cell>
          <cell r="D19">
            <v>0.0741494517473323</v>
          </cell>
        </row>
        <row r="20">
          <cell r="C20" t="str">
            <v/>
          </cell>
          <cell r="D20" t="str">
            <v/>
          </cell>
        </row>
        <row r="21">
          <cell r="C21" t="str">
            <v/>
          </cell>
          <cell r="D21" t="str">
            <v/>
          </cell>
        </row>
        <row r="22">
          <cell r="C22" t="str">
            <v/>
          </cell>
          <cell r="D22" t="str">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otalbroadcast.ie/"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4"/>
  <dimension ref="A2:Z50"/>
  <sheetViews>
    <sheetView tabSelected="1" zoomScale="85" zoomScaleNormal="85" zoomScalePageLayoutView="0" workbookViewId="0" topLeftCell="B1">
      <selection activeCell="D51" sqref="D51"/>
    </sheetView>
  </sheetViews>
  <sheetFormatPr defaultColWidth="9.140625" defaultRowHeight="12.75"/>
  <cols>
    <col min="1" max="1" width="5.28125" style="0" customWidth="1"/>
    <col min="2" max="2" width="17.57421875" style="0" bestFit="1" customWidth="1"/>
    <col min="4" max="4" width="11.00390625" style="0" customWidth="1"/>
    <col min="5" max="5" width="13.8515625" style="0" customWidth="1"/>
    <col min="6" max="6" width="16.140625" style="0" customWidth="1"/>
    <col min="7" max="7" width="10.7109375" style="0" customWidth="1"/>
    <col min="8" max="8" width="10.57421875" style="0" customWidth="1"/>
    <col min="9" max="9" width="5.421875" style="0" customWidth="1"/>
    <col min="11" max="11" width="9.28125" style="0" customWidth="1"/>
    <col min="13" max="13" width="12.421875" style="0" bestFit="1" customWidth="1"/>
    <col min="20" max="20" width="4.8515625" style="0" customWidth="1"/>
    <col min="24" max="24" width="13.28125" style="0" customWidth="1"/>
    <col min="25" max="25" width="10.28125" style="0" bestFit="1" customWidth="1"/>
    <col min="34" max="34" width="11.7109375" style="0" bestFit="1" customWidth="1"/>
  </cols>
  <sheetData>
    <row r="1" ht="60.75" customHeight="1"/>
    <row r="2" spans="2:6" s="26" customFormat="1" ht="29.25" customHeight="1">
      <c r="B2" s="27" t="s">
        <v>52</v>
      </c>
      <c r="F2" s="10"/>
    </row>
    <row r="3" spans="2:17" ht="12.75">
      <c r="B3" t="s">
        <v>53</v>
      </c>
      <c r="E3" t="s">
        <v>51</v>
      </c>
      <c r="Q3" t="s">
        <v>80</v>
      </c>
    </row>
    <row r="4" ht="12.75">
      <c r="B4" t="s">
        <v>79</v>
      </c>
    </row>
    <row r="5" ht="12.75">
      <c r="B5" t="s">
        <v>81</v>
      </c>
    </row>
    <row r="6" ht="12.75">
      <c r="H6" s="1" t="s">
        <v>4</v>
      </c>
    </row>
    <row r="7" spans="6:8" ht="12.75">
      <c r="F7" t="s">
        <v>2</v>
      </c>
      <c r="G7" t="s">
        <v>3</v>
      </c>
      <c r="H7" t="s">
        <v>3</v>
      </c>
    </row>
    <row r="8" spans="2:8" ht="12.75">
      <c r="B8" s="12" t="s">
        <v>37</v>
      </c>
      <c r="C8" t="s">
        <v>8</v>
      </c>
      <c r="F8" t="s">
        <v>0</v>
      </c>
      <c r="G8" t="s">
        <v>49</v>
      </c>
      <c r="H8" t="s">
        <v>50</v>
      </c>
    </row>
    <row r="9" spans="2:18" ht="12.75">
      <c r="B9" s="12"/>
      <c r="C9" s="18">
        <v>25</v>
      </c>
      <c r="F9" s="3">
        <f aca="true" t="shared" si="0" ref="F9:F21">$C$13+A26</f>
        <v>582</v>
      </c>
      <c r="G9" s="18">
        <v>162</v>
      </c>
      <c r="H9" s="19">
        <v>-309.3</v>
      </c>
      <c r="R9" s="10"/>
    </row>
    <row r="10" spans="2:8" ht="12.75">
      <c r="B10" s="12" t="s">
        <v>37</v>
      </c>
      <c r="C10" t="s">
        <v>17</v>
      </c>
      <c r="F10" s="3">
        <f t="shared" si="0"/>
        <v>587</v>
      </c>
      <c r="G10" s="18">
        <v>155</v>
      </c>
      <c r="H10" s="19">
        <v>-304.7</v>
      </c>
    </row>
    <row r="11" spans="3:8" ht="12.75">
      <c r="C11" s="18">
        <v>50</v>
      </c>
      <c r="F11" s="3">
        <f t="shared" si="0"/>
        <v>592</v>
      </c>
      <c r="G11" s="18">
        <v>147</v>
      </c>
      <c r="H11" s="19">
        <v>-295.8</v>
      </c>
    </row>
    <row r="12" spans="2:8" ht="13.5" thickBot="1">
      <c r="B12" s="12" t="s">
        <v>37</v>
      </c>
      <c r="C12" s="10" t="s">
        <v>38</v>
      </c>
      <c r="F12" s="3">
        <f t="shared" si="0"/>
        <v>597</v>
      </c>
      <c r="G12" s="18">
        <v>139</v>
      </c>
      <c r="H12" s="19">
        <v>-288.7</v>
      </c>
    </row>
    <row r="13" spans="3:21" ht="13.5" thickBot="1">
      <c r="C13" s="18">
        <v>612</v>
      </c>
      <c r="D13" t="s">
        <v>2</v>
      </c>
      <c r="F13" s="3">
        <f t="shared" si="0"/>
        <v>602</v>
      </c>
      <c r="G13" s="18">
        <v>129</v>
      </c>
      <c r="H13" s="19">
        <v>-281.4</v>
      </c>
      <c r="K13" s="16">
        <f>'Working Sheet'!E42</f>
        <v>69.56527332856537</v>
      </c>
      <c r="L13" s="10" t="s">
        <v>24</v>
      </c>
      <c r="N13" s="16">
        <f>'Working Sheet'!G42</f>
        <v>20.93396511474961</v>
      </c>
      <c r="O13" s="10" t="s">
        <v>24</v>
      </c>
      <c r="P13" s="17">
        <f>'Working Sheet'!H42</f>
        <v>2483.822841666067</v>
      </c>
      <c r="Q13" s="10" t="s">
        <v>26</v>
      </c>
      <c r="U13" s="93" t="s">
        <v>86</v>
      </c>
    </row>
    <row r="14" spans="6:17" ht="13.5" thickBot="1">
      <c r="F14" s="3">
        <f t="shared" si="0"/>
        <v>607</v>
      </c>
      <c r="G14" s="18">
        <v>126</v>
      </c>
      <c r="H14" s="19">
        <v>-275.8</v>
      </c>
      <c r="Q14" s="10"/>
    </row>
    <row r="15" spans="6:19" ht="13.5" thickBot="1">
      <c r="F15" s="3">
        <f t="shared" si="0"/>
        <v>612</v>
      </c>
      <c r="G15" s="18">
        <v>121</v>
      </c>
      <c r="H15" s="19">
        <v>-267.5</v>
      </c>
      <c r="R15" s="17">
        <f>'Working Sheet'!I45</f>
        <v>2647.1719822547498</v>
      </c>
      <c r="S15" s="10" t="s">
        <v>26</v>
      </c>
    </row>
    <row r="16" spans="6:8" ht="13.5" thickBot="1">
      <c r="F16" s="3">
        <f t="shared" si="0"/>
        <v>617</v>
      </c>
      <c r="G16" s="18">
        <v>116</v>
      </c>
      <c r="H16" s="19">
        <v>-261.9</v>
      </c>
    </row>
    <row r="17" spans="6:19" ht="13.5" thickBot="1">
      <c r="F17" s="3">
        <f t="shared" si="0"/>
        <v>622</v>
      </c>
      <c r="G17" s="24">
        <v>112</v>
      </c>
      <c r="H17" s="25">
        <v>-255</v>
      </c>
      <c r="R17" s="16">
        <f>'Working Sheet'!I46</f>
        <v>12.753817649385798</v>
      </c>
      <c r="S17" s="10" t="s">
        <v>24</v>
      </c>
    </row>
    <row r="18" spans="6:8" ht="13.5" thickBot="1">
      <c r="F18" s="3">
        <f t="shared" si="0"/>
        <v>627</v>
      </c>
      <c r="G18" s="18">
        <v>105</v>
      </c>
      <c r="H18" s="19">
        <v>-248.4</v>
      </c>
    </row>
    <row r="19" spans="6:20" ht="13.5" thickBot="1">
      <c r="F19" s="3">
        <f t="shared" si="0"/>
        <v>632</v>
      </c>
      <c r="G19" s="18">
        <v>99</v>
      </c>
      <c r="H19" s="19">
        <v>-241.6</v>
      </c>
      <c r="L19" s="16">
        <f>'Working Sheet'!F45</f>
        <v>16.05788959512439</v>
      </c>
      <c r="M19" s="10" t="s">
        <v>24</v>
      </c>
      <c r="T19" s="10"/>
    </row>
    <row r="20" spans="6:17" ht="12.75">
      <c r="F20" s="3">
        <f t="shared" si="0"/>
        <v>637</v>
      </c>
      <c r="G20" s="18">
        <v>109</v>
      </c>
      <c r="H20" s="19">
        <v>-215.1</v>
      </c>
      <c r="Q20" s="10"/>
    </row>
    <row r="21" spans="6:8" ht="12.75">
      <c r="F21" s="3">
        <f t="shared" si="0"/>
        <v>642</v>
      </c>
      <c r="G21" s="18">
        <v>93</v>
      </c>
      <c r="H21" s="19">
        <v>-226.1</v>
      </c>
    </row>
    <row r="22" spans="6:19" ht="12.75">
      <c r="F22" s="1"/>
      <c r="G22" s="3"/>
      <c r="S22" s="10"/>
    </row>
    <row r="23" spans="6:20" ht="12.75">
      <c r="F23" s="1"/>
      <c r="G23" s="3"/>
      <c r="T23" s="10"/>
    </row>
    <row r="24" spans="8:15" ht="12.75">
      <c r="H24" s="10"/>
      <c r="I24" s="10"/>
      <c r="J24" s="10"/>
      <c r="K24" s="10" t="s">
        <v>46</v>
      </c>
      <c r="O24" s="10"/>
    </row>
    <row r="25" spans="2:26" ht="12.75">
      <c r="B25" t="s">
        <v>0</v>
      </c>
      <c r="C25" s="10" t="s">
        <v>43</v>
      </c>
      <c r="D25" s="10" t="s">
        <v>44</v>
      </c>
      <c r="E25" s="10" t="s">
        <v>45</v>
      </c>
      <c r="F25" s="10" t="s">
        <v>46</v>
      </c>
      <c r="G25" s="10" t="s">
        <v>48</v>
      </c>
      <c r="H25" s="10" t="s">
        <v>46</v>
      </c>
      <c r="I25" s="10" t="s">
        <v>76</v>
      </c>
      <c r="J25" s="10" t="s">
        <v>77</v>
      </c>
      <c r="K25" s="10" t="s">
        <v>76</v>
      </c>
      <c r="L25" s="10" t="s">
        <v>77</v>
      </c>
      <c r="M25" s="10"/>
      <c r="N25" s="10"/>
      <c r="O25" s="10"/>
      <c r="P25" s="10"/>
      <c r="Q25" s="10"/>
      <c r="R25" s="10"/>
      <c r="S25" s="10"/>
      <c r="T25" s="10"/>
      <c r="U25" s="10"/>
      <c r="Z25" s="10" t="s">
        <v>47</v>
      </c>
    </row>
    <row r="26" spans="1:21" s="3" customFormat="1" ht="12.75">
      <c r="A26" s="3">
        <v>-30</v>
      </c>
      <c r="B26" s="3">
        <f>F9</f>
        <v>582</v>
      </c>
      <c r="C26" s="3" t="str">
        <f>'Working Sheet'!V20</f>
        <v>21.2729506155616+24.6750201809984j</v>
      </c>
      <c r="D26" s="3" t="str">
        <f>'Working Sheet'!W20</f>
        <v>-56.6651519127691j</v>
      </c>
      <c r="E26" s="90" t="str">
        <f>'Working Sheet'!X20</f>
        <v>46.28+12.93j</v>
      </c>
      <c r="F26" s="90" t="str">
        <f>'Working Sheet'!Y20</f>
        <v>0.93+0.26j</v>
      </c>
      <c r="G26" s="3" t="str">
        <f>'Working Sheet'!AH20</f>
        <v>46.28+12.93j</v>
      </c>
      <c r="H26" s="90" t="str">
        <f>'Working Sheet'!AI20</f>
        <v>0.93+0.26j</v>
      </c>
      <c r="I26" s="91">
        <v>47.13</v>
      </c>
      <c r="J26" s="91">
        <v>12.29</v>
      </c>
      <c r="K26" s="5">
        <v>0.94</v>
      </c>
      <c r="L26" s="5">
        <v>0.25</v>
      </c>
      <c r="M26" s="21"/>
      <c r="N26" s="21"/>
      <c r="R26" s="5"/>
      <c r="S26" s="5"/>
      <c r="T26" s="5"/>
      <c r="U26" s="5"/>
    </row>
    <row r="27" spans="1:21" s="3" customFormat="1" ht="12.75">
      <c r="A27" s="3">
        <v>-25</v>
      </c>
      <c r="B27" s="3">
        <f aca="true" t="shared" si="1" ref="B27:B38">F10</f>
        <v>587</v>
      </c>
      <c r="C27" s="3" t="str">
        <f>'Working Sheet'!V21</f>
        <v>22.5144046550027+25.662974445543j</v>
      </c>
      <c r="D27" s="3" t="str">
        <f>'Working Sheet'!W21</f>
        <v>-55.3845514108838j</v>
      </c>
      <c r="E27" s="90" t="str">
        <f>'Working Sheet'!X21</f>
        <v>49.68+10.19j</v>
      </c>
      <c r="F27" s="90" t="str">
        <f>'Working Sheet'!Y21</f>
        <v>0.99+0.20j</v>
      </c>
      <c r="G27" s="3" t="str">
        <f>'Working Sheet'!AH21</f>
        <v>49.68+10.19j</v>
      </c>
      <c r="H27" s="90" t="str">
        <f>'Working Sheet'!AI21</f>
        <v>0.99+0.20j</v>
      </c>
      <c r="I27" s="91">
        <v>50.18</v>
      </c>
      <c r="J27" s="91">
        <v>9.6</v>
      </c>
      <c r="K27" s="5">
        <v>1</v>
      </c>
      <c r="L27" s="5">
        <v>0.19</v>
      </c>
      <c r="M27" s="21"/>
      <c r="N27" s="21"/>
      <c r="R27" s="5"/>
      <c r="S27" s="5"/>
      <c r="T27" s="5"/>
      <c r="U27" s="5"/>
    </row>
    <row r="28" spans="1:21" s="3" customFormat="1" ht="12.75">
      <c r="A28" s="3">
        <v>-20</v>
      </c>
      <c r="B28" s="3">
        <f t="shared" si="1"/>
        <v>592</v>
      </c>
      <c r="C28" s="3" t="str">
        <f>'Working Sheet'!V22</f>
        <v>23.7049432950186+25.7004827534529j</v>
      </c>
      <c r="D28" s="3" t="str">
        <f>'Working Sheet'!W22</f>
        <v>-54.1188145492624j</v>
      </c>
      <c r="E28" s="90" t="str">
        <f>'Working Sheet'!X22</f>
        <v>50.70+6.66j</v>
      </c>
      <c r="F28" s="90" t="str">
        <f>'Working Sheet'!Y22</f>
        <v>1.01+0.13j</v>
      </c>
      <c r="G28" s="3" t="str">
        <f>'Working Sheet'!AH22</f>
        <v>50.70+6.66j</v>
      </c>
      <c r="H28" s="90" t="str">
        <f>'Working Sheet'!AI22</f>
        <v>1.01+0.13j</v>
      </c>
      <c r="I28" s="91">
        <v>50.91</v>
      </c>
      <c r="J28" s="91">
        <v>6.27</v>
      </c>
      <c r="K28" s="5">
        <v>1.02</v>
      </c>
      <c r="L28" s="5">
        <v>0.13</v>
      </c>
      <c r="M28" s="13"/>
      <c r="N28" s="13"/>
      <c r="O28"/>
      <c r="P28"/>
      <c r="R28" s="5"/>
      <c r="S28" s="5"/>
      <c r="T28" s="5"/>
      <c r="U28" s="5"/>
    </row>
    <row r="29" spans="1:21" s="3" customFormat="1" ht="12.75">
      <c r="A29" s="3">
        <v>-15</v>
      </c>
      <c r="B29" s="3">
        <f t="shared" si="1"/>
        <v>597</v>
      </c>
      <c r="C29" s="3" t="str">
        <f>'Working Sheet'!V23</f>
        <v>24.7505788127818+25.6446788229248j</v>
      </c>
      <c r="D29" s="3" t="str">
        <f>'Working Sheet'!W23</f>
        <v>-52.8675678696061j</v>
      </c>
      <c r="E29" s="90" t="str">
        <f>'Working Sheet'!X23</f>
        <v>51.10+3.34j</v>
      </c>
      <c r="F29" s="90" t="str">
        <f>'Working Sheet'!Y23</f>
        <v>1.02+0.07j</v>
      </c>
      <c r="G29" s="3" t="str">
        <f>'Working Sheet'!AH23</f>
        <v>51.10+3.34j</v>
      </c>
      <c r="H29" s="90" t="str">
        <f>'Working Sheet'!AI23</f>
        <v>1.02+0.07j</v>
      </c>
      <c r="I29" s="91">
        <v>51.16</v>
      </c>
      <c r="J29" s="91">
        <v>3.16</v>
      </c>
      <c r="K29" s="5">
        <v>1.02</v>
      </c>
      <c r="L29" s="5">
        <v>0.06</v>
      </c>
      <c r="O29" s="14"/>
      <c r="P29"/>
      <c r="R29" s="5"/>
      <c r="S29" s="5"/>
      <c r="T29" s="5"/>
      <c r="U29" s="5"/>
    </row>
    <row r="30" spans="1:21" s="3" customFormat="1" ht="12.75">
      <c r="A30" s="3">
        <v>-10</v>
      </c>
      <c r="B30" s="3">
        <f t="shared" si="1"/>
        <v>602</v>
      </c>
      <c r="C30" s="3" t="str">
        <f>'Working Sheet'!V24</f>
        <v>25.8019401594218+24.9871345292077j</v>
      </c>
      <c r="D30" s="3" t="str">
        <f>'Working Sheet'!W24</f>
        <v>-51.630450320868j</v>
      </c>
      <c r="E30" s="90" t="str">
        <f>'Working Sheet'!X24</f>
        <v>50.00-0.00j</v>
      </c>
      <c r="F30" s="90" t="str">
        <f>'Working Sheet'!Y24</f>
        <v>1.00</v>
      </c>
      <c r="G30" s="3" t="str">
        <f>'Working Sheet'!AH24</f>
        <v>50.00-0.00j</v>
      </c>
      <c r="H30" s="90" t="str">
        <f>'Working Sheet'!AI24</f>
        <v>1.00</v>
      </c>
      <c r="I30" s="91">
        <v>50</v>
      </c>
      <c r="J30" s="91">
        <v>0</v>
      </c>
      <c r="K30" s="5">
        <v>1</v>
      </c>
      <c r="L30" s="5">
        <v>0</v>
      </c>
      <c r="M30" s="13"/>
      <c r="N30" s="13"/>
      <c r="O30" s="14"/>
      <c r="P30"/>
      <c r="R30" s="5"/>
      <c r="S30" s="5"/>
      <c r="T30" s="5"/>
      <c r="U30" s="5"/>
    </row>
    <row r="31" spans="1:21" s="3" customFormat="1" ht="12.75">
      <c r="A31" s="3">
        <v>-5</v>
      </c>
      <c r="B31" s="3">
        <f t="shared" si="1"/>
        <v>607</v>
      </c>
      <c r="C31" s="3" t="str">
        <f>'Working Sheet'!V25</f>
        <v>25.6113952451946+25.202961968035j</v>
      </c>
      <c r="D31" s="3" t="str">
        <f>'Working Sheet'!W25</f>
        <v>-50.4071127482491j</v>
      </c>
      <c r="E31" s="90" t="str">
        <f>'Working Sheet'!X25</f>
        <v>50.40-0.81j</v>
      </c>
      <c r="F31" s="90" t="str">
        <f>'Working Sheet'!Y25</f>
        <v>1.01-0.02j</v>
      </c>
      <c r="G31" s="3" t="str">
        <f>'Working Sheet'!AH25</f>
        <v>50.40-0.81j</v>
      </c>
      <c r="H31" s="90" t="str">
        <f>'Working Sheet'!AI25</f>
        <v>1.01-0.02j</v>
      </c>
      <c r="I31" s="91">
        <v>50.42</v>
      </c>
      <c r="J31" s="91">
        <v>-0.72</v>
      </c>
      <c r="K31" s="5">
        <v>1.01</v>
      </c>
      <c r="L31" s="5">
        <v>-0.01</v>
      </c>
      <c r="M31" s="13"/>
      <c r="N31" s="13"/>
      <c r="O31" s="15"/>
      <c r="P31"/>
      <c r="R31" s="5"/>
      <c r="S31" s="5"/>
      <c r="T31" s="5"/>
      <c r="U31" s="5"/>
    </row>
    <row r="32" spans="1:21" s="3" customFormat="1" ht="12.75">
      <c r="A32" s="3">
        <v>0</v>
      </c>
      <c r="B32" s="3">
        <f t="shared" si="1"/>
        <v>612</v>
      </c>
      <c r="C32" s="3" t="str">
        <f>'Working Sheet'!V26</f>
        <v>25+24.7870276433645j</v>
      </c>
      <c r="D32" s="3" t="str">
        <f>'Working Sheet'!W26</f>
        <v>-49.1972174072363j</v>
      </c>
      <c r="E32" s="90" t="str">
        <f>'Working Sheet'!X26</f>
        <v>49.56-0.80j</v>
      </c>
      <c r="F32" s="90" t="str">
        <f>'Working Sheet'!Y26</f>
        <v>0.99-0.02j</v>
      </c>
      <c r="G32" s="3" t="str">
        <f>'Working Sheet'!AH26</f>
        <v>49.56-0.80j</v>
      </c>
      <c r="H32" s="90" t="str">
        <f>'Working Sheet'!AI26</f>
        <v>0.99-0.02j</v>
      </c>
      <c r="I32" s="91">
        <v>49.61</v>
      </c>
      <c r="J32" s="91">
        <v>-0.69</v>
      </c>
      <c r="K32" s="5">
        <v>0.99</v>
      </c>
      <c r="L32" s="5">
        <v>-0.01</v>
      </c>
      <c r="M32" s="13"/>
      <c r="N32" s="13"/>
      <c r="P32"/>
      <c r="R32" s="5"/>
      <c r="S32" s="5"/>
      <c r="T32" s="5"/>
      <c r="U32" s="5"/>
    </row>
    <row r="33" spans="1:21" s="3" customFormat="1" ht="12.75">
      <c r="A33" s="3">
        <v>5</v>
      </c>
      <c r="B33" s="3">
        <f t="shared" si="1"/>
        <v>617</v>
      </c>
      <c r="C33" s="3" t="str">
        <f>'Working Sheet'!V27</f>
        <v>24.482894553733+24.7733111045986j</v>
      </c>
      <c r="D33" s="3" t="str">
        <f>'Working Sheet'!W27</f>
        <v>-48.0004375012751j</v>
      </c>
      <c r="E33" s="90" t="str">
        <f>'Working Sheet'!X27</f>
        <v>49.53-1.01j</v>
      </c>
      <c r="F33" s="90" t="str">
        <f>'Working Sheet'!Y27</f>
        <v>0.99-0.02j</v>
      </c>
      <c r="G33" s="3" t="str">
        <f>'Working Sheet'!AH27</f>
        <v>49.53-1.01j</v>
      </c>
      <c r="H33" s="90" t="str">
        <f>'Working Sheet'!AI27</f>
        <v>0.99-0.02j</v>
      </c>
      <c r="I33" s="91">
        <v>49.57</v>
      </c>
      <c r="J33" s="91">
        <v>-0.93</v>
      </c>
      <c r="K33" s="5">
        <v>0.99</v>
      </c>
      <c r="L33" s="5">
        <v>-0.02</v>
      </c>
      <c r="M33" s="13"/>
      <c r="N33" s="13"/>
      <c r="P33"/>
      <c r="R33" s="5"/>
      <c r="S33" s="5"/>
      <c r="T33" s="5"/>
      <c r="U33" s="5"/>
    </row>
    <row r="34" spans="1:21" s="3" customFormat="1" ht="12.75">
      <c r="A34" s="3">
        <v>10</v>
      </c>
      <c r="B34" s="3">
        <f t="shared" si="1"/>
        <v>622</v>
      </c>
      <c r="C34" s="3" t="str">
        <f>'Working Sheet'!V28</f>
        <v>23.3576630974954+24.945996261899j</v>
      </c>
      <c r="D34" s="3" t="str">
        <f>'Working Sheet'!W28</f>
        <v>-46.816456741739j</v>
      </c>
      <c r="E34" s="90" t="str">
        <f>'Working Sheet'!X28</f>
        <v>50.00-0.00j</v>
      </c>
      <c r="F34" s="90" t="str">
        <f>'Working Sheet'!Y28</f>
        <v>1.00</v>
      </c>
      <c r="G34" s="3" t="str">
        <f>'Working Sheet'!AH28</f>
        <v>50.00-0.00j</v>
      </c>
      <c r="H34" s="90" t="str">
        <f>'Working Sheet'!AI28</f>
        <v>1.00</v>
      </c>
      <c r="I34" s="91">
        <v>50</v>
      </c>
      <c r="J34" s="91">
        <v>0</v>
      </c>
      <c r="K34" s="5">
        <v>1</v>
      </c>
      <c r="L34" s="5">
        <v>0</v>
      </c>
      <c r="M34" s="21"/>
      <c r="N34" s="21"/>
      <c r="R34" s="5"/>
      <c r="S34" s="5"/>
      <c r="T34" s="5"/>
      <c r="U34" s="5"/>
    </row>
    <row r="35" spans="1:21" s="3" customFormat="1" ht="12.75">
      <c r="A35" s="3">
        <v>15</v>
      </c>
      <c r="B35" s="3">
        <f t="shared" si="1"/>
        <v>627</v>
      </c>
      <c r="C35" s="3" t="str">
        <f>'Working Sheet'!V29</f>
        <v>22.1963078325624+24.7394387287448j</v>
      </c>
      <c r="D35" s="3" t="str">
        <f>'Working Sheet'!W29</f>
        <v>-45.6449689289526j</v>
      </c>
      <c r="E35" s="90" t="str">
        <f>'Working Sheet'!X29</f>
        <v>49.74+1.20j</v>
      </c>
      <c r="F35" s="90" t="str">
        <f>'Working Sheet'!Y29</f>
        <v>0.99+0.02j</v>
      </c>
      <c r="G35" s="3" t="str">
        <f>'Working Sheet'!AH29</f>
        <v>49.74+1.20j</v>
      </c>
      <c r="H35" s="90" t="str">
        <f>'Working Sheet'!AI29</f>
        <v>0.99+0.02j</v>
      </c>
      <c r="I35" s="91">
        <v>49.64</v>
      </c>
      <c r="J35" s="91">
        <v>1.06</v>
      </c>
      <c r="K35" s="5">
        <v>0.99</v>
      </c>
      <c r="L35" s="5">
        <v>0.02</v>
      </c>
      <c r="M35" s="21"/>
      <c r="N35" s="21"/>
      <c r="R35" s="5"/>
      <c r="S35" s="5"/>
      <c r="T35" s="5"/>
      <c r="U35" s="5"/>
    </row>
    <row r="36" spans="1:21" s="3" customFormat="1" ht="12.75">
      <c r="A36" s="3">
        <v>20</v>
      </c>
      <c r="B36" s="3">
        <f t="shared" si="1"/>
        <v>632</v>
      </c>
      <c r="C36" s="3" t="str">
        <f>'Working Sheet'!V30</f>
        <v>20.6588329349229+24.9714755790298j</v>
      </c>
      <c r="D36" s="3" t="str">
        <f>'Working Sheet'!W30</f>
        <v>-44.4856775531039j</v>
      </c>
      <c r="E36" s="90" t="str">
        <f>'Working Sheet'!X30</f>
        <v>50.62+3.33j</v>
      </c>
      <c r="F36" s="90" t="str">
        <f>'Working Sheet'!Y30</f>
        <v>1.01+0.07j</v>
      </c>
      <c r="G36" s="3" t="str">
        <f>'Working Sheet'!AH30</f>
        <v>50.62+3.33j</v>
      </c>
      <c r="H36" s="90" t="str">
        <f>'Working Sheet'!AI30</f>
        <v>1.01+0.07j</v>
      </c>
      <c r="I36" s="91">
        <v>50.34</v>
      </c>
      <c r="J36" s="91">
        <v>3.03</v>
      </c>
      <c r="K36" s="5">
        <v>1.01</v>
      </c>
      <c r="L36" s="5">
        <v>0.06</v>
      </c>
      <c r="M36" s="21"/>
      <c r="N36" s="21"/>
      <c r="R36" s="5"/>
      <c r="S36" s="5"/>
      <c r="T36" s="5"/>
      <c r="U36" s="5"/>
    </row>
    <row r="37" spans="1:21" s="3" customFormat="1" ht="12.75">
      <c r="A37" s="3">
        <v>25</v>
      </c>
      <c r="B37" s="3">
        <f t="shared" si="1"/>
        <v>637</v>
      </c>
      <c r="C37" s="3" t="str">
        <f>'Working Sheet'!V31</f>
        <v>15.9873986553991+28.7494580175969j</v>
      </c>
      <c r="D37" s="3" t="str">
        <f>'Working Sheet'!W31</f>
        <v>-43.3382954139511j</v>
      </c>
      <c r="E37" s="90" t="str">
        <f>'Working Sheet'!X31</f>
        <v>64.10+15.16j</v>
      </c>
      <c r="F37" s="90" t="str">
        <f>'Working Sheet'!Y31</f>
        <v>1.28+0.30j</v>
      </c>
      <c r="G37" s="3" t="str">
        <f>'Working Sheet'!AH31</f>
        <v>64.10+15.16j</v>
      </c>
      <c r="H37" s="90" t="str">
        <f>'Working Sheet'!AI31</f>
        <v>1.28+0.30j</v>
      </c>
      <c r="I37" s="91">
        <v>63.07</v>
      </c>
      <c r="J37" s="91">
        <v>14.89</v>
      </c>
      <c r="K37" s="5">
        <v>1.26</v>
      </c>
      <c r="L37" s="5">
        <v>0.3</v>
      </c>
      <c r="M37" s="21"/>
      <c r="N37" s="21"/>
      <c r="R37" s="5"/>
      <c r="S37" s="5"/>
      <c r="T37" s="5"/>
      <c r="U37" s="5"/>
    </row>
    <row r="38" spans="1:21" s="3" customFormat="1" ht="12.75">
      <c r="A38" s="3">
        <v>30</v>
      </c>
      <c r="B38" s="3">
        <f t="shared" si="1"/>
        <v>642</v>
      </c>
      <c r="C38" s="3" t="str">
        <f>'Working Sheet'!V32</f>
        <v>17.0554669837082+27.5338050720165j</v>
      </c>
      <c r="D38" s="3" t="str">
        <f>'Working Sheet'!W32</f>
        <v>-42.2025442583002j</v>
      </c>
      <c r="E38" s="90" t="str">
        <f>'Working Sheet'!X32</f>
        <v>60.03+9.42j</v>
      </c>
      <c r="F38" s="90" t="str">
        <f>'Working Sheet'!Y32</f>
        <v>1.20+0.19j</v>
      </c>
      <c r="G38" s="3" t="str">
        <f>'Working Sheet'!AH32</f>
        <v>60.03+9.42j</v>
      </c>
      <c r="H38" s="90" t="str">
        <f>'Working Sheet'!AI32</f>
        <v>1.20+0.19j</v>
      </c>
      <c r="I38" s="91">
        <v>58.89</v>
      </c>
      <c r="J38" s="91">
        <v>8.85</v>
      </c>
      <c r="K38" s="5">
        <v>1.18</v>
      </c>
      <c r="L38" s="5">
        <v>0.18</v>
      </c>
      <c r="M38" s="21"/>
      <c r="N38" s="21"/>
      <c r="R38" s="5"/>
      <c r="S38" s="5"/>
      <c r="T38" s="5"/>
      <c r="U38" s="5"/>
    </row>
    <row r="39" s="3" customFormat="1" ht="12.75"/>
    <row r="41" ht="12.75">
      <c r="B41" t="s">
        <v>83</v>
      </c>
    </row>
    <row r="42" ht="12.75">
      <c r="B42" t="s">
        <v>84</v>
      </c>
    </row>
    <row r="44" ht="12.75">
      <c r="B44" t="s">
        <v>87</v>
      </c>
    </row>
    <row r="48" ht="12.75">
      <c r="B48" t="s">
        <v>88</v>
      </c>
    </row>
    <row r="49" ht="12.75">
      <c r="B49" s="94">
        <v>39904</v>
      </c>
    </row>
    <row r="50" ht="12.75">
      <c r="B50" s="92" t="s">
        <v>85</v>
      </c>
    </row>
  </sheetData>
  <sheetProtection/>
  <hyperlinks>
    <hyperlink ref="B50" r:id="rId1" display="www.totalbroadcast.ie"/>
  </hyperlinks>
  <printOptions/>
  <pageMargins left="0.75" right="0.75" top="1" bottom="1" header="0.5" footer="0.5"/>
  <pageSetup horizontalDpi="600" verticalDpi="600" orientation="portrait" paperSize="9" r:id="rId3"/>
  <drawing r:id="rId2"/>
</worksheet>
</file>

<file path=xl/worksheets/sheet2.xml><?xml version="1.0" encoding="utf-8"?>
<worksheet xmlns="http://schemas.openxmlformats.org/spreadsheetml/2006/main" xmlns:r="http://schemas.openxmlformats.org/officeDocument/2006/relationships">
  <sheetPr codeName="Sheet2">
    <pageSetUpPr fitToPage="1"/>
  </sheetPr>
  <dimension ref="B1:V47"/>
  <sheetViews>
    <sheetView workbookViewId="0" topLeftCell="A1">
      <selection activeCell="D23" sqref="D23"/>
    </sheetView>
  </sheetViews>
  <sheetFormatPr defaultColWidth="9.140625" defaultRowHeight="12.75"/>
  <cols>
    <col min="1" max="1" width="1.7109375" style="28" customWidth="1"/>
    <col min="2" max="2" width="10.8515625" style="47" customWidth="1"/>
    <col min="3" max="4" width="10.8515625" style="48" customWidth="1"/>
    <col min="5" max="12" width="9.140625" style="28" customWidth="1"/>
    <col min="13" max="14" width="8.7109375" style="28" customWidth="1"/>
    <col min="15" max="15" width="10.7109375" style="30" customWidth="1"/>
    <col min="16" max="16" width="10.7109375" style="31" customWidth="1"/>
    <col min="17" max="18" width="8.57421875" style="28" customWidth="1"/>
    <col min="19" max="19" width="1.7109375" style="28" customWidth="1"/>
    <col min="20" max="20" width="18.7109375" style="32" customWidth="1"/>
    <col min="21" max="21" width="18.7109375" style="33" customWidth="1"/>
    <col min="22" max="22" width="20.7109375" style="33" customWidth="1"/>
    <col min="23" max="16384" width="9.140625" style="28" customWidth="1"/>
  </cols>
  <sheetData>
    <row r="1" spans="2:11" ht="15.75">
      <c r="B1" s="75" t="s">
        <v>70</v>
      </c>
      <c r="C1" s="75"/>
      <c r="D1" s="75"/>
      <c r="E1" s="75"/>
      <c r="F1" s="75"/>
      <c r="G1" s="75"/>
      <c r="H1" s="29"/>
      <c r="I1" s="76" t="s">
        <v>68</v>
      </c>
      <c r="J1" s="76"/>
      <c r="K1" s="76"/>
    </row>
    <row r="2" spans="2:16" ht="12.75">
      <c r="B2" s="80" t="s">
        <v>82</v>
      </c>
      <c r="C2" s="80"/>
      <c r="D2" s="34"/>
      <c r="G2" s="35"/>
      <c r="M2" s="77" t="s">
        <v>62</v>
      </c>
      <c r="N2" s="78"/>
      <c r="P2" s="36"/>
    </row>
    <row r="3" spans="2:16" ht="13.5" thickBot="1">
      <c r="B3" s="37"/>
      <c r="C3" s="38" t="s">
        <v>60</v>
      </c>
      <c r="D3" s="39"/>
      <c r="F3" s="40"/>
      <c r="J3" s="40"/>
      <c r="M3" s="41" t="s">
        <v>66</v>
      </c>
      <c r="N3" s="41" t="s">
        <v>67</v>
      </c>
      <c r="O3" s="42" t="s">
        <v>69</v>
      </c>
      <c r="P3" s="36"/>
    </row>
    <row r="4" spans="2:16" ht="14.25" thickBot="1" thickTop="1">
      <c r="B4" s="72" t="s">
        <v>78</v>
      </c>
      <c r="C4" s="72"/>
      <c r="D4" s="72"/>
      <c r="F4" s="40"/>
      <c r="G4" s="73" t="s">
        <v>58</v>
      </c>
      <c r="H4" s="73"/>
      <c r="I4" s="73"/>
      <c r="J4" s="40"/>
      <c r="M4" s="43">
        <v>50</v>
      </c>
      <c r="N4" s="44">
        <v>0</v>
      </c>
      <c r="O4" s="45" t="str">
        <f>COMPLEX(M4,N4,"j")</f>
        <v>50</v>
      </c>
      <c r="P4" s="46"/>
    </row>
    <row r="5" spans="7:22" ht="12" customHeight="1" thickTop="1">
      <c r="G5" s="49">
        <v>-1</v>
      </c>
      <c r="H5" s="49">
        <v>0</v>
      </c>
      <c r="I5" s="49">
        <v>1</v>
      </c>
      <c r="T5" s="74" t="s">
        <v>71</v>
      </c>
      <c r="U5" s="74"/>
      <c r="V5" s="74"/>
    </row>
    <row r="6" spans="2:22" ht="19.5" thickBot="1">
      <c r="B6" s="89" t="s">
        <v>57</v>
      </c>
      <c r="C6" s="50" t="s">
        <v>55</v>
      </c>
      <c r="D6" s="50" t="s">
        <v>56</v>
      </c>
      <c r="M6" s="88" t="s">
        <v>72</v>
      </c>
      <c r="N6" s="88" t="s">
        <v>73</v>
      </c>
      <c r="O6" s="51" t="s">
        <v>61</v>
      </c>
      <c r="P6" s="52" t="s">
        <v>59</v>
      </c>
      <c r="Q6" s="53" t="s">
        <v>74</v>
      </c>
      <c r="R6" s="54" t="s">
        <v>75</v>
      </c>
      <c r="S6" s="55"/>
      <c r="T6" s="56" t="s">
        <v>64</v>
      </c>
      <c r="U6" s="56" t="s">
        <v>65</v>
      </c>
      <c r="V6" s="56" t="s">
        <v>63</v>
      </c>
    </row>
    <row r="7" spans="2:22" ht="12.75" thickTop="1">
      <c r="B7" s="79">
        <f>'Front Page'!F9/1000</f>
        <v>0.582</v>
      </c>
      <c r="C7" s="57">
        <f>IF(M7&lt;&gt;"",IMREAL(V7),"")</f>
        <v>-0.0133244919997651</v>
      </c>
      <c r="D7" s="58">
        <f>IF(M7&lt;&gt;"",IMAGINARY(V7),"")</f>
        <v>0.128217420021385</v>
      </c>
      <c r="M7" s="79">
        <f>'Front Page'!I26</f>
        <v>47.13</v>
      </c>
      <c r="N7" s="79">
        <f>'Front Page'!J26</f>
        <v>12.29</v>
      </c>
      <c r="O7" s="59" t="str">
        <f>IF(M7&lt;&gt;"",COMPLEX(M7,N7,"j"),"")</f>
        <v>47.13+12.29j</v>
      </c>
      <c r="P7" s="60" t="str">
        <f aca="true" t="shared" si="0" ref="P7:P14">IF(M7&lt;&gt;"",IF(N7&lt;&gt;0,IF(N7&gt;0,FIXED(N7/(2*PI()*B7*1000000)*1000000000,4)&amp;" nH",FIXED(-1/(2*PI()*B7*1000000*N7)*1000000000000,4)&amp;" pF"),0),"")</f>
        <v>3,360.8492 nH</v>
      </c>
      <c r="Q7" s="61">
        <f aca="true" t="shared" si="1" ref="Q7:Q14">IF(M7&lt;&gt;"",SQRT(M7^2+N7^2),"")</f>
        <v>48.7060673838486</v>
      </c>
      <c r="R7" s="61">
        <f aca="true" t="shared" si="2" ref="R7:R14">IF(M7&lt;&gt;"",ATAN(N7/M7)*180/PI(),"")</f>
        <v>14.615430115079555</v>
      </c>
      <c r="S7" s="48"/>
      <c r="T7" s="62" t="str">
        <f>IF(M7&lt;&gt;"",IMSUB(O7,$O$4),"")</f>
        <v>-2.87+12.29j</v>
      </c>
      <c r="U7" s="63" t="str">
        <f>IF(M7&lt;&gt;"",IMSUM(O7,$O$4),"")</f>
        <v>97.13+12.29j</v>
      </c>
      <c r="V7" s="63" t="str">
        <f>IF(M7&lt;&gt;"",IMDIV(T7,U7),"")</f>
        <v>-1.33244919997651E-002+0.128217420021385j</v>
      </c>
    </row>
    <row r="8" spans="2:22" ht="12">
      <c r="B8" s="79">
        <f>'Front Page'!F10/1000</f>
        <v>0.587</v>
      </c>
      <c r="C8" s="64">
        <f>IF(M8&lt;&gt;"",IMREAL(V8),"")</f>
        <v>0.01087976962207</v>
      </c>
      <c r="D8" s="65">
        <f>IF(M8&lt;&gt;"",IMAGINARY(V8),"")</f>
        <v>0.0947849292436427</v>
      </c>
      <c r="M8" s="79">
        <f>'Front Page'!I27</f>
        <v>50.18</v>
      </c>
      <c r="N8" s="79">
        <f>'Front Page'!J27</f>
        <v>9.6</v>
      </c>
      <c r="O8" s="66" t="str">
        <f>IF(M8&lt;&gt;"",COMPLEX(M8,N8,"j"),"")</f>
        <v>50.18+9.6j</v>
      </c>
      <c r="P8" s="67" t="str">
        <f t="shared" si="0"/>
        <v>2,602.8747 nH</v>
      </c>
      <c r="Q8" s="68">
        <f t="shared" si="1"/>
        <v>51.090042082582</v>
      </c>
      <c r="R8" s="68">
        <f t="shared" si="2"/>
        <v>10.830462671038774</v>
      </c>
      <c r="S8" s="48"/>
      <c r="T8" s="62" t="str">
        <f>IF(M8&lt;&gt;"",IMSUB(O8,$O$4),"")</f>
        <v>0.18+9.6j</v>
      </c>
      <c r="U8" s="63" t="str">
        <f>IF(M8&lt;&gt;"",IMSUM(O8,$O$4),"")</f>
        <v>100.18+9.6j</v>
      </c>
      <c r="V8" s="63" t="str">
        <f>IF(M8&lt;&gt;"",IMDIV(T8,U8),"")</f>
        <v>1.087976962207E-002+9.47849292436427E-002j</v>
      </c>
    </row>
    <row r="9" spans="2:22" ht="12">
      <c r="B9" s="79">
        <f>'Front Page'!F11/1000</f>
        <v>0.592</v>
      </c>
      <c r="C9" s="64">
        <f>IF(M9&lt;&gt;"",IMREAL(V9),"")</f>
        <v>0.0128291128052332</v>
      </c>
      <c r="D9" s="65">
        <f>IF(M9&lt;&gt;"",IMAGINARY(V9),"")</f>
        <v>0.0613374438877335</v>
      </c>
      <c r="M9" s="79">
        <f>'Front Page'!I28</f>
        <v>50.91</v>
      </c>
      <c r="N9" s="79">
        <f>'Front Page'!J28</f>
        <v>6.27</v>
      </c>
      <c r="O9" s="66" t="str">
        <f>IF(M9&lt;&gt;"",COMPLEX(M9,N9,"j"),"")</f>
        <v>50.91+6.27j</v>
      </c>
      <c r="P9" s="67" t="str">
        <f t="shared" si="0"/>
        <v>1,685.6444 nH</v>
      </c>
      <c r="Q9" s="68">
        <f t="shared" si="1"/>
        <v>51.294648843714675</v>
      </c>
      <c r="R9" s="68">
        <f t="shared" si="2"/>
        <v>7.0211068155366245</v>
      </c>
      <c r="S9" s="48"/>
      <c r="T9" s="62" t="str">
        <f>IF(M9&lt;&gt;"",IMSUB(O9,$O$4),"")</f>
        <v>0.909999999999997+6.27j</v>
      </c>
      <c r="U9" s="63" t="str">
        <f>IF(M9&lt;&gt;"",IMSUM(O9,$O$4),"")</f>
        <v>100.91+6.27j</v>
      </c>
      <c r="V9" s="63" t="str">
        <f>IF(M9&lt;&gt;"",IMDIV(T9,U9),"")</f>
        <v>1.28291128052332E-002+6.13374438877335E-002j</v>
      </c>
    </row>
    <row r="10" spans="2:22" ht="12">
      <c r="B10" s="79">
        <f>'Front Page'!F12/1000</f>
        <v>0.597</v>
      </c>
      <c r="C10" s="64">
        <f>IF(M10&lt;&gt;"",IMREAL(V10),"")</f>
        <v>0.0124306436562356</v>
      </c>
      <c r="D10" s="65">
        <f>IF(M10&lt;&gt;"",IMAGINARY(V10),"")</f>
        <v>0.0308493393243011</v>
      </c>
      <c r="M10" s="79">
        <f>'Front Page'!I29</f>
        <v>51.16</v>
      </c>
      <c r="N10" s="79">
        <f>'Front Page'!J29</f>
        <v>3.16</v>
      </c>
      <c r="O10" s="66" t="str">
        <f>IF(M10&lt;&gt;"",COMPLEX(M10,N10,"j"),"")</f>
        <v>51.16+3.16j</v>
      </c>
      <c r="P10" s="67" t="str">
        <f t="shared" si="0"/>
        <v>842.4282 nH</v>
      </c>
      <c r="Q10" s="68">
        <f t="shared" si="1"/>
        <v>51.25749896356629</v>
      </c>
      <c r="R10" s="68">
        <f t="shared" si="2"/>
        <v>3.5344983948601674</v>
      </c>
      <c r="S10" s="48"/>
      <c r="T10" s="62" t="str">
        <f>IF(M10&lt;&gt;"",IMSUB(O10,$O$4),"")</f>
        <v>1.16+3.16j</v>
      </c>
      <c r="U10" s="63" t="str">
        <f>IF(M10&lt;&gt;"",IMSUM(O10,$O$4),"")</f>
        <v>101.16+3.16j</v>
      </c>
      <c r="V10" s="63" t="str">
        <f>IF(M10&lt;&gt;"",IMDIV(T10,U10),"")</f>
        <v>1.24306436562356E-002+3.08493393243011E-002j</v>
      </c>
    </row>
    <row r="11" spans="2:22" ht="12">
      <c r="B11" s="79">
        <f>'Front Page'!F13/1000</f>
        <v>0.602</v>
      </c>
      <c r="C11" s="64">
        <f>IF(M11&lt;&gt;"",IMREAL(V11),"")</f>
        <v>0</v>
      </c>
      <c r="D11" s="65">
        <f>IF(M11&lt;&gt;"",IMAGINARY(V11),"")</f>
        <v>0</v>
      </c>
      <c r="M11" s="79">
        <f>'Front Page'!I30</f>
        <v>50</v>
      </c>
      <c r="N11" s="79">
        <f>'Front Page'!J30</f>
        <v>0</v>
      </c>
      <c r="O11" s="66" t="str">
        <f>IF(M11&lt;&gt;"",COMPLEX(M11,N11,"j"),"")</f>
        <v>50</v>
      </c>
      <c r="P11" s="67" t="e">
        <f t="shared" si="0"/>
        <v>#DIV/0!</v>
      </c>
      <c r="Q11" s="68">
        <f t="shared" si="1"/>
        <v>50</v>
      </c>
      <c r="R11" s="68">
        <f t="shared" si="2"/>
        <v>0</v>
      </c>
      <c r="S11" s="48"/>
      <c r="T11" s="62" t="str">
        <f>IF(M11&lt;&gt;"",IMSUB(O11,$O$4),"")</f>
        <v>0</v>
      </c>
      <c r="U11" s="63" t="str">
        <f>IF(M11&lt;&gt;"",IMSUM(O11,$O$4),"")</f>
        <v>100</v>
      </c>
      <c r="V11" s="63" t="str">
        <f>IF(M11&lt;&gt;"",IMDIV(T11,U11),"")</f>
        <v>0</v>
      </c>
    </row>
    <row r="12" spans="2:22" ht="12">
      <c r="B12" s="79">
        <f>'Front Page'!F14/1000</f>
        <v>0.607</v>
      </c>
      <c r="C12" s="64">
        <f>IF(M12&lt;&gt;"",IMREAL(V12),"")</f>
        <v>0.0042336234111914</v>
      </c>
      <c r="D12" s="65">
        <f>IF(M12&lt;&gt;"",IMAGINARY(V12),"")</f>
        <v>-0.0071395318775537</v>
      </c>
      <c r="M12" s="79">
        <f>'Front Page'!I31</f>
        <v>50.42</v>
      </c>
      <c r="N12" s="79">
        <f>'Front Page'!J31</f>
        <v>-0.72</v>
      </c>
      <c r="O12" s="66" t="str">
        <f>IF(M12&lt;&gt;"",COMPLEX(M12,N12,"j"),"")</f>
        <v>50.42-0.72j</v>
      </c>
      <c r="P12" s="67" t="str">
        <f t="shared" si="0"/>
        <v>364,165.6212 pF</v>
      </c>
      <c r="Q12" s="68">
        <f t="shared" si="1"/>
        <v>50.425140555084226</v>
      </c>
      <c r="R12" s="68">
        <f t="shared" si="2"/>
        <v>-0.8181308507433068</v>
      </c>
      <c r="S12" s="48"/>
      <c r="T12" s="62" t="str">
        <f>IF(M12&lt;&gt;"",IMSUB(O12,$O$4),"")</f>
        <v>0.420000000000002-0.72j</v>
      </c>
      <c r="U12" s="63" t="str">
        <f>IF(M12&lt;&gt;"",IMSUM(O12,$O$4),"")</f>
        <v>100.42-0.72j</v>
      </c>
      <c r="V12" s="63" t="str">
        <f>IF(M12&lt;&gt;"",IMDIV(T12,U12),"")</f>
        <v>4.2336234111914E-003-7.1395318775537E-003j</v>
      </c>
    </row>
    <row r="13" spans="2:22" ht="12">
      <c r="B13" s="79">
        <f>'Front Page'!F15/1000</f>
        <v>0.612</v>
      </c>
      <c r="C13" s="64">
        <f>IF(M13&lt;&gt;"",IMREAL(V13),"")</f>
        <v>-0.00386710045227736</v>
      </c>
      <c r="D13" s="65">
        <f>IF(M13&lt;&gt;"",IMAGINARY(V13),"")</f>
        <v>-0.00695380282413484</v>
      </c>
      <c r="M13" s="79">
        <f>'Front Page'!I32</f>
        <v>49.61</v>
      </c>
      <c r="N13" s="79">
        <f>'Front Page'!J32</f>
        <v>-0.69</v>
      </c>
      <c r="O13" s="66" t="str">
        <f>IF(M13&lt;&gt;"",COMPLEX(M13,N13,"j"),"")</f>
        <v>49.61-0.69j</v>
      </c>
      <c r="P13" s="67" t="str">
        <f>IF(M13&lt;&gt;"",IF(N13&lt;&gt;0,IF(N13&gt;0,FIXED(N13/(2*PI()*B13*1000000)*1000000000,4)&amp;" nH",FIXED(-1/(2*PI()*B13*1000000*N13)*1000000000000,4)&amp;" pF"),0),"")</f>
        <v>376,894.3428 pF</v>
      </c>
      <c r="Q13" s="68">
        <f>IF(M13&lt;&gt;"",SQRT(M13^2+N13^2),"")</f>
        <v>49.614798195699635</v>
      </c>
      <c r="R13" s="68">
        <f>IF(M13&lt;&gt;"",ATAN(N13/M13)*180/PI(),"")</f>
        <v>-0.7968461786529345</v>
      </c>
      <c r="S13" s="48"/>
      <c r="T13" s="62" t="str">
        <f>IF(M13&lt;&gt;"",IMSUB(O13,$O$4),"")</f>
        <v>-0.390000000000001-0.69j</v>
      </c>
      <c r="U13" s="63" t="str">
        <f>IF(M13&lt;&gt;"",IMSUM(O13,$O$4),"")</f>
        <v>99.61-0.69j</v>
      </c>
      <c r="V13" s="63" t="str">
        <f>IF(M13&lt;&gt;"",IMDIV(T13,U13),"")</f>
        <v>-3.86710045227736E-003-6.95380282413484E-003j</v>
      </c>
    </row>
    <row r="14" spans="2:22" ht="12">
      <c r="B14" s="79">
        <f>'Front Page'!F16/1000</f>
        <v>0.617</v>
      </c>
      <c r="C14" s="64">
        <f>IF(M14&lt;&gt;"",IMREAL(V14),"")</f>
        <v>-0.00423096210772436</v>
      </c>
      <c r="D14" s="65">
        <f>IF(M14&lt;&gt;"",IMAGINARY(V14),"")</f>
        <v>-0.00937968057407034</v>
      </c>
      <c r="M14" s="79">
        <f>'Front Page'!I33</f>
        <v>49.57</v>
      </c>
      <c r="N14" s="79">
        <f>'Front Page'!J33</f>
        <v>-0.93</v>
      </c>
      <c r="O14" s="66" t="str">
        <f>IF(M14&lt;&gt;"",COMPLEX(M14,N14,"j"),"")</f>
        <v>49.57-0.93j</v>
      </c>
      <c r="P14" s="67" t="str">
        <f t="shared" si="0"/>
        <v>277,365.2308 pF</v>
      </c>
      <c r="Q14" s="68">
        <f t="shared" si="1"/>
        <v>49.578723259075566</v>
      </c>
      <c r="R14" s="68">
        <f t="shared" si="2"/>
        <v>-1.0748199387123432</v>
      </c>
      <c r="S14" s="48"/>
      <c r="T14" s="62" t="str">
        <f>IF(M14&lt;&gt;"",IMSUB(O14,$O$4),"")</f>
        <v>-0.43-0.93j</v>
      </c>
      <c r="U14" s="63" t="str">
        <f>IF(M14&lt;&gt;"",IMSUM(O14,$O$4),"")</f>
        <v>99.57-0.93j</v>
      </c>
      <c r="V14" s="63" t="str">
        <f>IF(M14&lt;&gt;"",IMDIV(T14,U14),"")</f>
        <v>-4.23096210772436E-003-9.37968057407034E-003j</v>
      </c>
    </row>
    <row r="15" spans="2:22" ht="12">
      <c r="B15" s="79">
        <f>'Front Page'!F17/1000</f>
        <v>0.622</v>
      </c>
      <c r="C15" s="64">
        <f>IF(M15&lt;&gt;"",IMREAL(V15),"")</f>
        <v>0</v>
      </c>
      <c r="D15" s="65">
        <f>IF(M15&lt;&gt;"",IMAGINARY(V15),"")</f>
        <v>0</v>
      </c>
      <c r="M15" s="79">
        <f>'Front Page'!I34</f>
        <v>50</v>
      </c>
      <c r="N15" s="79">
        <f>'Front Page'!J34</f>
        <v>0</v>
      </c>
      <c r="O15" s="66" t="str">
        <f>IF(M15&lt;&gt;"",COMPLEX(M15,N15,"j"),"")</f>
        <v>50</v>
      </c>
      <c r="P15" s="67" t="e">
        <f aca="true" t="shared" si="3" ref="P15:P30">IF(M15&lt;&gt;"",IF(N15&lt;&gt;0,IF(N15&gt;0,FIXED(N15/(2*PI()*B15*1000000)*1000000000,4)&amp;" nH",FIXED(-1/(2*PI()*B15*1000000*N15)*1000000000000,4)&amp;" pF"),0),"")</f>
        <v>#DIV/0!</v>
      </c>
      <c r="Q15" s="68">
        <f aca="true" t="shared" si="4" ref="Q15:Q30">IF(M15&lt;&gt;"",SQRT(M15^2+N15^2),"")</f>
        <v>50</v>
      </c>
      <c r="R15" s="68">
        <f aca="true" t="shared" si="5" ref="R15:R30">IF(M15&lt;&gt;"",ATAN(N15/M15)*180/PI(),"")</f>
        <v>0</v>
      </c>
      <c r="S15" s="48"/>
      <c r="T15" s="62" t="str">
        <f>IF(M15&lt;&gt;"",IMSUB(O15,$O$4),"")</f>
        <v>0</v>
      </c>
      <c r="U15" s="63" t="str">
        <f>IF(M15&lt;&gt;"",IMSUM(O15,$O$4),"")</f>
        <v>100</v>
      </c>
      <c r="V15" s="63" t="str">
        <f>IF(M15&lt;&gt;"",IMDIV(T15,U15),"")</f>
        <v>0</v>
      </c>
    </row>
    <row r="16" spans="2:22" ht="12.75" customHeight="1">
      <c r="B16" s="79">
        <f>'Front Page'!F18/1000</f>
        <v>0.627</v>
      </c>
      <c r="C16" s="64">
        <f>IF(M16&lt;&gt;"",IMREAL(V16),"")</f>
        <v>-0.00349943739978349</v>
      </c>
      <c r="D16" s="65">
        <f>IF(M16&lt;&gt;"",IMAGINARY(V16),"")</f>
        <v>0.0106755259297849</v>
      </c>
      <c r="M16" s="79">
        <f>'Front Page'!I35</f>
        <v>49.64</v>
      </c>
      <c r="N16" s="79">
        <f>'Front Page'!J35</f>
        <v>1.06</v>
      </c>
      <c r="O16" s="66" t="str">
        <f>IF(M16&lt;&gt;"",COMPLEX(M16,N16,"j"),"")</f>
        <v>49.64+1.06j</v>
      </c>
      <c r="P16" s="67" t="str">
        <f t="shared" si="3"/>
        <v>269.0658 nH</v>
      </c>
      <c r="Q16" s="68">
        <f t="shared" si="4"/>
        <v>49.65131619604862</v>
      </c>
      <c r="R16" s="68">
        <f t="shared" si="5"/>
        <v>1.2232936677411288</v>
      </c>
      <c r="S16" s="48"/>
      <c r="T16" s="62" t="str">
        <f>IF(M16&lt;&gt;"",IMSUB(O16,$O$4),"")</f>
        <v>-0.359999999999999+1.06j</v>
      </c>
      <c r="U16" s="63" t="str">
        <f>IF(M16&lt;&gt;"",IMSUM(O16,$O$4),"")</f>
        <v>99.64+1.06j</v>
      </c>
      <c r="V16" s="63" t="str">
        <f>IF(M16&lt;&gt;"",IMDIV(T16,U16),"")</f>
        <v>-3.49943739978349E-003+1.06755259297849E-002j</v>
      </c>
    </row>
    <row r="17" spans="2:22" ht="12">
      <c r="B17" s="79">
        <f>'Front Page'!F19/1000</f>
        <v>0.632</v>
      </c>
      <c r="C17" s="64">
        <f>IF(M17&lt;&gt;"",IMREAL(V17),"")</f>
        <v>0.00429644002238103</v>
      </c>
      <c r="D17" s="65">
        <f>IF(M17&lt;&gt;"",IMAGINARY(V17),"")</f>
        <v>0.030067588067891</v>
      </c>
      <c r="M17" s="79">
        <f>'Front Page'!I36</f>
        <v>50.34</v>
      </c>
      <c r="N17" s="79">
        <f>'Front Page'!J36</f>
        <v>3.03</v>
      </c>
      <c r="O17" s="66" t="str">
        <f>IF(M17&lt;&gt;"",COMPLEX(M17,N17,"j"),"")</f>
        <v>50.34+3.03j</v>
      </c>
      <c r="P17" s="67" t="str">
        <f t="shared" si="3"/>
        <v>763.0371 nH</v>
      </c>
      <c r="Q17" s="68">
        <f t="shared" si="4"/>
        <v>50.43110647209716</v>
      </c>
      <c r="R17" s="68">
        <f t="shared" si="5"/>
        <v>3.444517533467897</v>
      </c>
      <c r="S17" s="48"/>
      <c r="T17" s="62" t="str">
        <f>IF(M17&lt;&gt;"",IMSUB(O17,$O$4),"")</f>
        <v>0.340000000000003+3.03j</v>
      </c>
      <c r="U17" s="63" t="str">
        <f>IF(M17&lt;&gt;"",IMSUM(O17,$O$4),"")</f>
        <v>100.34+3.03j</v>
      </c>
      <c r="V17" s="63" t="str">
        <f>IF(M17&lt;&gt;"",IMDIV(T17,U17),"")</f>
        <v>4.29644002238103E-003+3.0067588067891E-002j</v>
      </c>
    </row>
    <row r="18" spans="2:22" ht="12">
      <c r="B18" s="79">
        <f>'Front Page'!F20/1000</f>
        <v>0.637</v>
      </c>
      <c r="C18" s="64">
        <f>IF(M18&lt;&gt;"",IMREAL(V18),"")</f>
        <v>0.130667909528878</v>
      </c>
      <c r="D18" s="65">
        <f>IF(M18&lt;&gt;"",IMAGINARY(V18),"")</f>
        <v>0.114480895260591</v>
      </c>
      <c r="M18" s="79">
        <f>'Front Page'!I37</f>
        <v>63.07</v>
      </c>
      <c r="N18" s="79">
        <f>'Front Page'!J37</f>
        <v>14.89</v>
      </c>
      <c r="O18" s="66" t="str">
        <f>IF(M18&lt;&gt;"",COMPLEX(M18,N18,"j"),"")</f>
        <v>63.07+14.89j</v>
      </c>
      <c r="P18" s="67" t="str">
        <f t="shared" si="3"/>
        <v>3,720.2780 nH</v>
      </c>
      <c r="Q18" s="68">
        <f t="shared" si="4"/>
        <v>64.80383476307556</v>
      </c>
      <c r="R18" s="68">
        <f t="shared" si="5"/>
        <v>13.283551859900296</v>
      </c>
      <c r="S18" s="48"/>
      <c r="T18" s="62" t="str">
        <f>IF(M18&lt;&gt;"",IMSUB(O18,$O$4),"")</f>
        <v>13.07+14.89j</v>
      </c>
      <c r="U18" s="63" t="str">
        <f>IF(M18&lt;&gt;"",IMSUM(O18,$O$4),"")</f>
        <v>113.07+14.89j</v>
      </c>
      <c r="V18" s="63" t="str">
        <f>IF(M18&lt;&gt;"",IMDIV(T18,U18),"")</f>
        <v>0.130667909528878+0.114480895260591j</v>
      </c>
    </row>
    <row r="19" spans="2:22" ht="12">
      <c r="B19" s="79">
        <f>'Front Page'!F21/1000</f>
        <v>0.642</v>
      </c>
      <c r="C19" s="82">
        <f>IF(M19&lt;&gt;"",IMREAL(V19),"")</f>
        <v>0.0876684970884736</v>
      </c>
      <c r="D19" s="65">
        <f>IF(M19&lt;&gt;"",IMAGINARY(V19),"")</f>
        <v>0.0741494517473323</v>
      </c>
      <c r="M19" s="79">
        <f>'Front Page'!I38</f>
        <v>58.89</v>
      </c>
      <c r="N19" s="79">
        <f>'Front Page'!J38</f>
        <v>8.85</v>
      </c>
      <c r="O19" s="86" t="str">
        <f>IF(M19&lt;&gt;"",COMPLEX(M19,N19,"j"),"")</f>
        <v>58.89+8.85j</v>
      </c>
      <c r="P19" s="67" t="str">
        <f t="shared" si="3"/>
        <v>2,193.9583 nH</v>
      </c>
      <c r="Q19" s="68">
        <f t="shared" si="4"/>
        <v>59.55127706439216</v>
      </c>
      <c r="R19" s="68">
        <f t="shared" si="5"/>
        <v>8.546465038491434</v>
      </c>
      <c r="S19" s="48"/>
      <c r="T19" s="62" t="str">
        <f>IF(M19&lt;&gt;"",IMSUB(O19,$O$4),"")</f>
        <v>8.89+8.85j</v>
      </c>
      <c r="U19" s="63" t="str">
        <f>IF(M19&lt;&gt;"",IMSUM(O19,$O$4),"")</f>
        <v>108.89+8.85j</v>
      </c>
      <c r="V19" s="63" t="str">
        <f>IF(M19&lt;&gt;"",IMDIV(T19,U19),"")</f>
        <v>8.76684970884736E-002+7.41494517473323E-002j</v>
      </c>
    </row>
    <row r="20" spans="2:22" ht="12">
      <c r="B20" s="70"/>
      <c r="C20" s="83"/>
      <c r="D20" s="81"/>
      <c r="L20" s="87"/>
      <c r="M20" s="70"/>
      <c r="N20" s="70"/>
      <c r="O20" s="70">
        <f>IF(M20&lt;&gt;"",COMPLEX(M20,N20,"j"),"")</f>
      </c>
      <c r="P20" s="85">
        <f t="shared" si="3"/>
      </c>
      <c r="Q20" s="68">
        <f t="shared" si="4"/>
      </c>
      <c r="R20" s="68">
        <f t="shared" si="5"/>
      </c>
      <c r="S20" s="48"/>
      <c r="T20" s="62">
        <f>IF(M20&lt;&gt;"",IMSUB(O20,$O$4),"")</f>
      </c>
      <c r="U20" s="63">
        <f>IF(M20&lt;&gt;"",IMSUM(O20,$O$4),"")</f>
      </c>
      <c r="V20" s="63">
        <f>IF(M20&lt;&gt;"",IMDIV(T20,U20),"")</f>
      </c>
    </row>
    <row r="21" spans="2:22" ht="12">
      <c r="B21" s="70"/>
      <c r="C21" s="83"/>
      <c r="D21" s="81"/>
      <c r="L21" s="87"/>
      <c r="M21" s="70"/>
      <c r="N21" s="70"/>
      <c r="O21" s="70">
        <f>IF(M21&lt;&gt;"",COMPLEX(M21,N21,"j"),"")</f>
      </c>
      <c r="P21" s="85">
        <f t="shared" si="3"/>
      </c>
      <c r="Q21" s="68">
        <f t="shared" si="4"/>
      </c>
      <c r="R21" s="68">
        <f t="shared" si="5"/>
      </c>
      <c r="S21" s="48"/>
      <c r="T21" s="62">
        <f>IF(M21&lt;&gt;"",IMSUB(O21,$O$4),"")</f>
      </c>
      <c r="U21" s="63">
        <f>IF(M21&lt;&gt;"",IMSUM(O21,$O$4),"")</f>
      </c>
      <c r="V21" s="63">
        <f>IF(M21&lt;&gt;"",IMDIV(T21,U21),"")</f>
      </c>
    </row>
    <row r="22" spans="2:22" ht="12">
      <c r="B22" s="70"/>
      <c r="C22" s="83"/>
      <c r="D22" s="81"/>
      <c r="L22" s="87"/>
      <c r="M22" s="70"/>
      <c r="N22" s="70"/>
      <c r="O22" s="70">
        <f>IF(M22&lt;&gt;"",COMPLEX(M22,N22,"j"),"")</f>
      </c>
      <c r="P22" s="85">
        <f t="shared" si="3"/>
      </c>
      <c r="Q22" s="68">
        <f t="shared" si="4"/>
      </c>
      <c r="R22" s="68">
        <f t="shared" si="5"/>
      </c>
      <c r="S22" s="48"/>
      <c r="T22" s="62">
        <f>IF(M22&lt;&gt;"",IMSUB(O22,$O$4),"")</f>
      </c>
      <c r="U22" s="63">
        <f>IF(M22&lt;&gt;"",IMSUM(O22,$O$4),"")</f>
      </c>
      <c r="V22" s="63">
        <f>IF(M22&lt;&gt;"",IMDIV(T22,U22),"")</f>
      </c>
    </row>
    <row r="23" spans="2:22" ht="12">
      <c r="B23" s="70"/>
      <c r="C23" s="83">
        <f>IF(M23&lt;&gt;"",IMREAL(V23),"")</f>
      </c>
      <c r="D23" s="81">
        <f>IF(M23&lt;&gt;"",IMAGINARY(V23),"")</f>
      </c>
      <c r="L23" s="87"/>
      <c r="M23" s="70"/>
      <c r="N23" s="70"/>
      <c r="O23" s="70">
        <f>IF(M23&lt;&gt;"",COMPLEX(M23,N23,"j"),"")</f>
      </c>
      <c r="P23" s="85">
        <f t="shared" si="3"/>
      </c>
      <c r="Q23" s="68">
        <f t="shared" si="4"/>
      </c>
      <c r="R23" s="68">
        <f t="shared" si="5"/>
      </c>
      <c r="S23" s="48"/>
      <c r="T23" s="62">
        <f>IF(M23&lt;&gt;"",IMSUB(O23,$O$4),"")</f>
      </c>
      <c r="U23" s="63">
        <f>IF(M23&lt;&gt;"",IMSUM(O23,$O$4),"")</f>
      </c>
      <c r="V23" s="63">
        <f>IF(M23&lt;&gt;"",IMDIV(T23,U23),"")</f>
      </c>
    </row>
    <row r="24" spans="2:22" ht="12">
      <c r="B24" s="70"/>
      <c r="C24" s="83">
        <f>IF(M24&lt;&gt;"",IMREAL(V24),"")</f>
      </c>
      <c r="D24" s="81">
        <f>IF(M24&lt;&gt;"",IMAGINARY(V24),"")</f>
      </c>
      <c r="L24" s="87"/>
      <c r="M24" s="70"/>
      <c r="N24" s="70"/>
      <c r="O24" s="70">
        <f>IF(M24&lt;&gt;"",COMPLEX(M24,N24,"j"),"")</f>
      </c>
      <c r="P24" s="85">
        <f t="shared" si="3"/>
      </c>
      <c r="Q24" s="68">
        <f t="shared" si="4"/>
      </c>
      <c r="R24" s="68">
        <f t="shared" si="5"/>
      </c>
      <c r="S24" s="48"/>
      <c r="T24" s="62">
        <f>IF(M24&lt;&gt;"",IMSUB(O24,$O$4),"")</f>
      </c>
      <c r="U24" s="63">
        <f>IF(M24&lt;&gt;"",IMSUM(O24,$O$4),"")</f>
      </c>
      <c r="V24" s="63">
        <f>IF(M24&lt;&gt;"",IMDIV(T24,U24),"")</f>
      </c>
    </row>
    <row r="25" spans="2:22" ht="12">
      <c r="B25" s="70"/>
      <c r="C25" s="83">
        <f>IF(M25&lt;&gt;"",IMREAL(V25),"")</f>
      </c>
      <c r="D25" s="81">
        <f>IF(M25&lt;&gt;"",IMAGINARY(V25),"")</f>
      </c>
      <c r="L25" s="87"/>
      <c r="M25" s="70"/>
      <c r="N25" s="70"/>
      <c r="O25" s="70">
        <f>IF(M25&lt;&gt;"",COMPLEX(M25,N25,"j"),"")</f>
      </c>
      <c r="P25" s="85">
        <f t="shared" si="3"/>
      </c>
      <c r="Q25" s="68">
        <f t="shared" si="4"/>
      </c>
      <c r="R25" s="68">
        <f t="shared" si="5"/>
      </c>
      <c r="S25" s="48"/>
      <c r="T25" s="62">
        <f>IF(M25&lt;&gt;"",IMSUB(O25,$O$4),"")</f>
      </c>
      <c r="U25" s="63">
        <f>IF(M25&lt;&gt;"",IMSUM(O25,$O$4),"")</f>
      </c>
      <c r="V25" s="63">
        <f>IF(M25&lt;&gt;"",IMDIV(T25,U25),"")</f>
      </c>
    </row>
    <row r="26" spans="2:22" ht="12">
      <c r="B26" s="70"/>
      <c r="C26" s="83">
        <f>IF(M26&lt;&gt;"",IMREAL(V26),"")</f>
      </c>
      <c r="D26" s="81">
        <f>IF(M26&lt;&gt;"",IMAGINARY(V26),"")</f>
      </c>
      <c r="L26" s="87"/>
      <c r="M26" s="70"/>
      <c r="N26" s="70"/>
      <c r="O26" s="70">
        <f>IF(M26&lt;&gt;"",COMPLEX(M26,N26,"j"),"")</f>
      </c>
      <c r="P26" s="85">
        <f t="shared" si="3"/>
      </c>
      <c r="Q26" s="68">
        <f t="shared" si="4"/>
      </c>
      <c r="R26" s="68">
        <f t="shared" si="5"/>
      </c>
      <c r="S26" s="48"/>
      <c r="T26" s="62">
        <f>IF(M26&lt;&gt;"",IMSUB(O26,$O$4),"")</f>
      </c>
      <c r="U26" s="63">
        <f>IF(M26&lt;&gt;"",IMSUM(O26,$O$4),"")</f>
      </c>
      <c r="V26" s="63">
        <f>IF(M26&lt;&gt;"",IMDIV(T26,U26),"")</f>
      </c>
    </row>
    <row r="27" spans="2:22" ht="12">
      <c r="B27" s="70"/>
      <c r="C27" s="83">
        <f>IF(M27&lt;&gt;"",IMREAL(V27),"")</f>
      </c>
      <c r="D27" s="81">
        <f>IF(M27&lt;&gt;"",IMAGINARY(V27),"")</f>
      </c>
      <c r="L27" s="87"/>
      <c r="M27" s="70"/>
      <c r="N27" s="70"/>
      <c r="O27" s="70">
        <f>IF(M27&lt;&gt;"",COMPLEX(M27,N27,"j"),"")</f>
      </c>
      <c r="P27" s="85">
        <f t="shared" si="3"/>
      </c>
      <c r="Q27" s="68">
        <f t="shared" si="4"/>
      </c>
      <c r="R27" s="68">
        <f t="shared" si="5"/>
      </c>
      <c r="S27" s="48"/>
      <c r="T27" s="62">
        <f>IF(M27&lt;&gt;"",IMSUB(O27,$O$4),"")</f>
      </c>
      <c r="U27" s="63">
        <f>IF(M27&lt;&gt;"",IMSUM(O27,$O$4),"")</f>
      </c>
      <c r="V27" s="63">
        <f>IF(M27&lt;&gt;"",IMDIV(T27,U27),"")</f>
      </c>
    </row>
    <row r="28" spans="2:22" ht="12">
      <c r="B28" s="70"/>
      <c r="C28" s="83">
        <f>IF(M28&lt;&gt;"",IMREAL(V28),"")</f>
      </c>
      <c r="D28" s="81">
        <f>IF(M28&lt;&gt;"",IMAGINARY(V28),"")</f>
      </c>
      <c r="L28" s="87"/>
      <c r="M28" s="70"/>
      <c r="N28" s="70"/>
      <c r="O28" s="70">
        <f>IF(M28&lt;&gt;"",COMPLEX(M28,N28,"j"),"")</f>
      </c>
      <c r="P28" s="85">
        <f t="shared" si="3"/>
      </c>
      <c r="Q28" s="68">
        <f t="shared" si="4"/>
      </c>
      <c r="R28" s="68">
        <f t="shared" si="5"/>
      </c>
      <c r="S28" s="48"/>
      <c r="T28" s="62">
        <f>IF(M28&lt;&gt;"",IMSUB(O28,$O$4),"")</f>
      </c>
      <c r="U28" s="63">
        <f>IF(M28&lt;&gt;"",IMSUM(O28,$O$4),"")</f>
      </c>
      <c r="V28" s="63">
        <f>IF(M28&lt;&gt;"",IMDIV(T28,U28),"")</f>
      </c>
    </row>
    <row r="29" spans="2:22" ht="12">
      <c r="B29" s="70"/>
      <c r="C29" s="83">
        <f>IF(M29&lt;&gt;"",IMREAL(V29),"")</f>
      </c>
      <c r="D29" s="81">
        <f>IF(M29&lt;&gt;"",IMAGINARY(V29),"")</f>
      </c>
      <c r="L29" s="87"/>
      <c r="M29" s="70"/>
      <c r="N29" s="70"/>
      <c r="O29" s="70">
        <f>IF(M29&lt;&gt;"",COMPLEX(M29,N29,"j"),"")</f>
      </c>
      <c r="P29" s="85">
        <f t="shared" si="3"/>
      </c>
      <c r="Q29" s="68">
        <f t="shared" si="4"/>
      </c>
      <c r="R29" s="68">
        <f t="shared" si="5"/>
      </c>
      <c r="S29" s="48"/>
      <c r="T29" s="62">
        <f>IF(M29&lt;&gt;"",IMSUB(O29,$O$4),"")</f>
      </c>
      <c r="U29" s="63">
        <f>IF(M29&lt;&gt;"",IMSUM(O29,$O$4),"")</f>
      </c>
      <c r="V29" s="63">
        <f>IF(M29&lt;&gt;"",IMDIV(T29,U29),"")</f>
      </c>
    </row>
    <row r="30" spans="2:22" ht="12">
      <c r="B30" s="70"/>
      <c r="C30" s="83">
        <f>IF(M30&lt;&gt;"",IMREAL(V30),"")</f>
      </c>
      <c r="D30" s="81">
        <f>IF(M30&lt;&gt;"",IMAGINARY(V30),"")</f>
      </c>
      <c r="L30" s="87"/>
      <c r="M30" s="70"/>
      <c r="N30" s="70"/>
      <c r="O30" s="70">
        <f>IF(M30&lt;&gt;"",COMPLEX(M30,N30,"j"),"")</f>
      </c>
      <c r="P30" s="85">
        <f t="shared" si="3"/>
      </c>
      <c r="Q30" s="68">
        <f t="shared" si="4"/>
      </c>
      <c r="R30" s="68">
        <f t="shared" si="5"/>
      </c>
      <c r="S30" s="48"/>
      <c r="T30" s="62">
        <f>IF(M30&lt;&gt;"",IMSUB(O30,$O$4),"")</f>
      </c>
      <c r="U30" s="63">
        <f>IF(M30&lt;&gt;"",IMSUM(O30,$O$4),"")</f>
      </c>
      <c r="V30" s="63">
        <f>IF(M30&lt;&gt;"",IMDIV(T30,U30),"")</f>
      </c>
    </row>
    <row r="31" spans="2:22" ht="12.75">
      <c r="B31" s="84"/>
      <c r="C31" s="83"/>
      <c r="D31" s="69"/>
      <c r="M31"/>
      <c r="N31"/>
      <c r="O31" s="70"/>
      <c r="P31" s="71"/>
      <c r="Q31" s="48"/>
      <c r="R31" s="48"/>
      <c r="S31" s="48"/>
      <c r="T31" s="62"/>
      <c r="U31" s="63"/>
      <c r="V31" s="63"/>
    </row>
    <row r="32" spans="3:22" ht="12.75">
      <c r="C32" s="69"/>
      <c r="D32" s="69"/>
      <c r="M32"/>
      <c r="N32"/>
      <c r="O32" s="70"/>
      <c r="P32" s="71"/>
      <c r="Q32" s="48"/>
      <c r="R32" s="48"/>
      <c r="S32" s="48"/>
      <c r="T32" s="62"/>
      <c r="U32" s="63"/>
      <c r="V32" s="63"/>
    </row>
    <row r="33" spans="3:22" ht="12.75">
      <c r="C33" s="69"/>
      <c r="D33" s="69"/>
      <c r="M33"/>
      <c r="N33"/>
      <c r="O33" s="70"/>
      <c r="P33" s="71"/>
      <c r="Q33" s="48"/>
      <c r="R33" s="48"/>
      <c r="S33" s="48"/>
      <c r="T33" s="62"/>
      <c r="U33" s="63"/>
      <c r="V33" s="63"/>
    </row>
    <row r="34" spans="3:22" ht="12.75">
      <c r="C34" s="69"/>
      <c r="D34" s="69"/>
      <c r="M34"/>
      <c r="N34"/>
      <c r="O34" s="70"/>
      <c r="P34" s="71"/>
      <c r="Q34" s="48"/>
      <c r="R34" s="48"/>
      <c r="S34" s="48"/>
      <c r="T34" s="62"/>
      <c r="U34" s="63"/>
      <c r="V34" s="63"/>
    </row>
    <row r="35" spans="3:22" ht="12.75">
      <c r="C35" s="69"/>
      <c r="D35" s="69"/>
      <c r="M35"/>
      <c r="N35"/>
      <c r="O35" s="70"/>
      <c r="P35" s="71"/>
      <c r="Q35" s="48"/>
      <c r="R35" s="48"/>
      <c r="S35" s="48"/>
      <c r="T35" s="62"/>
      <c r="U35" s="63"/>
      <c r="V35" s="63"/>
    </row>
    <row r="36" spans="13:14" ht="12.75">
      <c r="M36"/>
      <c r="N36"/>
    </row>
    <row r="37" spans="13:14" ht="12.75">
      <c r="M37"/>
      <c r="N37"/>
    </row>
    <row r="38" spans="13:14" ht="12.75">
      <c r="M38"/>
      <c r="N38"/>
    </row>
    <row r="39" spans="13:14" ht="12.75">
      <c r="M39"/>
      <c r="N39"/>
    </row>
    <row r="40" spans="13:14" ht="12.75">
      <c r="M40"/>
      <c r="N40"/>
    </row>
    <row r="41" spans="13:14" ht="12.75">
      <c r="M41"/>
      <c r="N41"/>
    </row>
    <row r="42" spans="13:14" ht="12.75">
      <c r="M42"/>
      <c r="N42"/>
    </row>
    <row r="43" spans="13:14" ht="12.75">
      <c r="M43"/>
      <c r="N43"/>
    </row>
    <row r="44" spans="13:14" ht="12.75">
      <c r="M44"/>
      <c r="N44"/>
    </row>
    <row r="45" spans="13:14" ht="12.75">
      <c r="M45"/>
      <c r="N45"/>
    </row>
    <row r="46" spans="13:14" ht="12.75">
      <c r="M46"/>
      <c r="N46"/>
    </row>
    <row r="47" spans="13:14" ht="12.75">
      <c r="M47"/>
      <c r="N47"/>
    </row>
    <row r="48" ht="12"/>
    <row r="49" ht="12"/>
    <row r="50" ht="12"/>
    <row r="51" ht="12"/>
    <row r="52" ht="12"/>
    <row r="53" ht="12"/>
  </sheetData>
  <mergeCells count="7">
    <mergeCell ref="B1:G1"/>
    <mergeCell ref="I1:K1"/>
    <mergeCell ref="T5:V5"/>
    <mergeCell ref="B4:D4"/>
    <mergeCell ref="G4:I4"/>
    <mergeCell ref="M2:N2"/>
    <mergeCell ref="B2:C2"/>
  </mergeCells>
  <printOptions horizontalCentered="1"/>
  <pageMargins left="0.5" right="0.5" top="0.75" bottom="0.5" header="0.5" footer="0.5"/>
  <pageSetup fitToHeight="1" fitToWidth="1" horizontalDpi="600" verticalDpi="600" orientation="landscape" scale="56" r:id="rId4"/>
  <drawing r:id="rId3"/>
  <legacyDrawing r:id="rId2"/>
</worksheet>
</file>

<file path=xl/worksheets/sheet3.xml><?xml version="1.0" encoding="utf-8"?>
<worksheet xmlns="http://schemas.openxmlformats.org/spreadsheetml/2006/main" xmlns:r="http://schemas.openxmlformats.org/officeDocument/2006/relationships">
  <sheetPr codeName="Sheet1"/>
  <dimension ref="A1:AI77"/>
  <sheetViews>
    <sheetView zoomScale="85" zoomScaleNormal="85" zoomScalePageLayoutView="0" workbookViewId="0" topLeftCell="A1">
      <selection activeCell="E41" sqref="E41:J46"/>
    </sheetView>
  </sheetViews>
  <sheetFormatPr defaultColWidth="9.140625" defaultRowHeight="12.75"/>
  <cols>
    <col min="1" max="1" width="17.57421875" style="0" bestFit="1" customWidth="1"/>
    <col min="4" max="4" width="13.8515625" style="0" customWidth="1"/>
    <col min="5" max="5" width="16.140625" style="0" customWidth="1"/>
    <col min="6" max="6" width="12.28125" style="0" bestFit="1" customWidth="1"/>
    <col min="7" max="7" width="15.421875" style="0" bestFit="1" customWidth="1"/>
    <col min="8" max="9" width="12.421875" style="0" bestFit="1" customWidth="1"/>
    <col min="11" max="11" width="23.421875" style="0" customWidth="1"/>
    <col min="13" max="13" width="12.421875" style="0" bestFit="1" customWidth="1"/>
    <col min="24" max="24" width="13.28125" style="0" customWidth="1"/>
    <col min="25" max="25" width="10.28125" style="0" bestFit="1" customWidth="1"/>
    <col min="34" max="34" width="11.7109375" style="0" bestFit="1" customWidth="1"/>
  </cols>
  <sheetData>
    <row r="1" spans="1:8" ht="12.75">
      <c r="A1" s="12" t="s">
        <v>37</v>
      </c>
      <c r="B1" t="s">
        <v>8</v>
      </c>
      <c r="F1" t="s">
        <v>2</v>
      </c>
      <c r="G1" t="s">
        <v>3</v>
      </c>
      <c r="H1" t="s">
        <v>3</v>
      </c>
    </row>
    <row r="2" spans="1:8" ht="12.75">
      <c r="A2" s="12"/>
      <c r="B2" s="18">
        <f>'Front Page'!C9</f>
        <v>25</v>
      </c>
      <c r="F2" t="s">
        <v>0</v>
      </c>
      <c r="G2" t="s">
        <v>1</v>
      </c>
      <c r="H2" t="s">
        <v>13</v>
      </c>
    </row>
    <row r="3" spans="1:18" ht="12.75">
      <c r="A3" s="12" t="s">
        <v>37</v>
      </c>
      <c r="B3" t="s">
        <v>17</v>
      </c>
      <c r="F3" s="3">
        <f aca="true" t="shared" si="0" ref="F3:F15">$B$6+A65</f>
        <v>582</v>
      </c>
      <c r="G3" s="18">
        <f>'Front Page'!G9</f>
        <v>162</v>
      </c>
      <c r="H3" s="18">
        <f>'Front Page'!H9</f>
        <v>-309.3</v>
      </c>
      <c r="R3" s="10"/>
    </row>
    <row r="4" spans="2:8" ht="12.75">
      <c r="B4" s="18">
        <f>'Front Page'!C11</f>
        <v>50</v>
      </c>
      <c r="F4" s="3">
        <f t="shared" si="0"/>
        <v>587</v>
      </c>
      <c r="G4" s="18">
        <f>'Front Page'!G10</f>
        <v>155</v>
      </c>
      <c r="H4" s="18">
        <f>'Front Page'!H10</f>
        <v>-304.7</v>
      </c>
    </row>
    <row r="5" spans="1:8" ht="12.75">
      <c r="A5" s="12" t="s">
        <v>37</v>
      </c>
      <c r="B5" s="10" t="s">
        <v>38</v>
      </c>
      <c r="E5" s="1"/>
      <c r="F5" s="3">
        <f t="shared" si="0"/>
        <v>592</v>
      </c>
      <c r="G5" s="18">
        <f>'Front Page'!G11</f>
        <v>147</v>
      </c>
      <c r="H5" s="18">
        <f>'Front Page'!H11</f>
        <v>-295.8</v>
      </c>
    </row>
    <row r="6" spans="2:8" ht="12.75">
      <c r="B6" s="18">
        <f>'Front Page'!C13</f>
        <v>612</v>
      </c>
      <c r="C6" t="s">
        <v>2</v>
      </c>
      <c r="E6" s="1"/>
      <c r="F6" s="3">
        <f t="shared" si="0"/>
        <v>597</v>
      </c>
      <c r="G6" s="18">
        <f>'Front Page'!G12</f>
        <v>139</v>
      </c>
      <c r="H6" s="18">
        <f>'Front Page'!H12</f>
        <v>-288.7</v>
      </c>
    </row>
    <row r="7" spans="5:8" ht="12.75">
      <c r="E7" s="1"/>
      <c r="F7" s="3">
        <f t="shared" si="0"/>
        <v>602</v>
      </c>
      <c r="G7" s="18">
        <f>'Front Page'!G13</f>
        <v>129</v>
      </c>
      <c r="H7" s="18">
        <f>'Front Page'!H13</f>
        <v>-281.4</v>
      </c>
    </row>
    <row r="8" spans="5:17" ht="12.75">
      <c r="E8" s="1"/>
      <c r="F8" s="3">
        <f t="shared" si="0"/>
        <v>607</v>
      </c>
      <c r="G8" s="18">
        <f>'Front Page'!G14</f>
        <v>126</v>
      </c>
      <c r="H8" s="18">
        <f>'Front Page'!H14</f>
        <v>-275.8</v>
      </c>
      <c r="Q8" s="10"/>
    </row>
    <row r="9" spans="1:8" ht="12.75">
      <c r="A9" s="1" t="s">
        <v>4</v>
      </c>
      <c r="E9" s="1"/>
      <c r="F9" s="3">
        <f t="shared" si="0"/>
        <v>612</v>
      </c>
      <c r="G9" s="18">
        <f>'Front Page'!G15</f>
        <v>121</v>
      </c>
      <c r="H9" s="18">
        <f>'Front Page'!H15</f>
        <v>-267.5</v>
      </c>
    </row>
    <row r="10" spans="5:8" ht="12.75">
      <c r="E10" s="1"/>
      <c r="F10" s="3">
        <f t="shared" si="0"/>
        <v>617</v>
      </c>
      <c r="G10" s="18">
        <f>'Front Page'!G16</f>
        <v>116</v>
      </c>
      <c r="H10" s="18">
        <f>'Front Page'!H16</f>
        <v>-261.9</v>
      </c>
    </row>
    <row r="11" spans="5:8" ht="12.75">
      <c r="E11" s="1"/>
      <c r="F11" s="3">
        <f t="shared" si="0"/>
        <v>622</v>
      </c>
      <c r="G11" s="18">
        <f>'Front Page'!G17</f>
        <v>112</v>
      </c>
      <c r="H11" s="18">
        <f>'Front Page'!H17</f>
        <v>-255</v>
      </c>
    </row>
    <row r="12" spans="5:8" ht="12.75">
      <c r="E12" s="1"/>
      <c r="F12" s="3">
        <f t="shared" si="0"/>
        <v>627</v>
      </c>
      <c r="G12" s="18">
        <f>'Front Page'!G18</f>
        <v>105</v>
      </c>
      <c r="H12" s="18">
        <f>'Front Page'!H18</f>
        <v>-248.4</v>
      </c>
    </row>
    <row r="13" spans="5:20" ht="12.75">
      <c r="E13" s="1"/>
      <c r="F13" s="3">
        <f t="shared" si="0"/>
        <v>632</v>
      </c>
      <c r="G13" s="18">
        <f>'Front Page'!G19</f>
        <v>99</v>
      </c>
      <c r="H13" s="18">
        <f>'Front Page'!H19</f>
        <v>-241.6</v>
      </c>
      <c r="T13" s="10"/>
    </row>
    <row r="14" spans="5:29" ht="12.75">
      <c r="E14" s="1"/>
      <c r="F14" s="3">
        <f t="shared" si="0"/>
        <v>637</v>
      </c>
      <c r="G14" s="18">
        <f>'Front Page'!G20</f>
        <v>109</v>
      </c>
      <c r="H14" s="18">
        <f>'Front Page'!H20</f>
        <v>-215.1</v>
      </c>
      <c r="Q14" s="10"/>
      <c r="AC14" s="10" t="s">
        <v>54</v>
      </c>
    </row>
    <row r="15" spans="5:8" ht="12.75">
      <c r="E15" s="1"/>
      <c r="F15" s="3">
        <f t="shared" si="0"/>
        <v>642</v>
      </c>
      <c r="G15" s="18">
        <f>'Front Page'!G21</f>
        <v>93</v>
      </c>
      <c r="H15" s="18">
        <f>'Front Page'!H21</f>
        <v>-226.1</v>
      </c>
    </row>
    <row r="16" spans="5:19" ht="12.75">
      <c r="E16" s="1"/>
      <c r="F16" s="3"/>
      <c r="S16" s="10"/>
    </row>
    <row r="17" spans="5:20" ht="12.75">
      <c r="E17" s="1"/>
      <c r="F17" s="3"/>
      <c r="T17" s="10"/>
    </row>
    <row r="18" spans="2:15" ht="12.75">
      <c r="B18" t="s">
        <v>2</v>
      </c>
      <c r="C18" t="s">
        <v>3</v>
      </c>
      <c r="D18" t="s">
        <v>3</v>
      </c>
      <c r="E18" t="s">
        <v>3</v>
      </c>
      <c r="F18" t="s">
        <v>5</v>
      </c>
      <c r="G18" s="2" t="s">
        <v>12</v>
      </c>
      <c r="H18" t="s">
        <v>3</v>
      </c>
      <c r="I18" s="2" t="s">
        <v>5</v>
      </c>
      <c r="J18" s="2" t="s">
        <v>12</v>
      </c>
      <c r="K18" s="2" t="s">
        <v>14</v>
      </c>
      <c r="O18" s="10" t="s">
        <v>23</v>
      </c>
    </row>
    <row r="19" spans="2:35" ht="12.75">
      <c r="B19" t="s">
        <v>0</v>
      </c>
      <c r="C19" t="s">
        <v>1</v>
      </c>
      <c r="D19" t="s">
        <v>13</v>
      </c>
      <c r="E19" t="s">
        <v>11</v>
      </c>
      <c r="F19" t="s">
        <v>20</v>
      </c>
      <c r="G19" t="s">
        <v>10</v>
      </c>
      <c r="H19" t="s">
        <v>21</v>
      </c>
      <c r="I19" t="s">
        <v>9</v>
      </c>
      <c r="J19" t="s">
        <v>9</v>
      </c>
      <c r="K19" s="2" t="s">
        <v>15</v>
      </c>
      <c r="L19" s="2" t="s">
        <v>18</v>
      </c>
      <c r="M19" s="2" t="s">
        <v>16</v>
      </c>
      <c r="N19" s="2" t="s">
        <v>19</v>
      </c>
      <c r="O19" s="2" t="s">
        <v>18</v>
      </c>
      <c r="P19" s="2" t="s">
        <v>16</v>
      </c>
      <c r="Q19" s="2" t="s">
        <v>19</v>
      </c>
      <c r="R19" s="10" t="s">
        <v>39</v>
      </c>
      <c r="S19" s="10" t="s">
        <v>40</v>
      </c>
      <c r="T19" s="10" t="s">
        <v>41</v>
      </c>
      <c r="U19" s="10" t="s">
        <v>42</v>
      </c>
      <c r="V19" s="10" t="s">
        <v>43</v>
      </c>
      <c r="W19" s="10" t="s">
        <v>44</v>
      </c>
      <c r="X19" s="10" t="s">
        <v>45</v>
      </c>
      <c r="Y19" s="10" t="s">
        <v>46</v>
      </c>
      <c r="Z19" s="10" t="s">
        <v>47</v>
      </c>
      <c r="AH19" s="10" t="s">
        <v>48</v>
      </c>
      <c r="AI19" s="10" t="s">
        <v>46</v>
      </c>
    </row>
    <row r="20" spans="1:35" s="3" customFormat="1" ht="12.75">
      <c r="A20" s="3">
        <v>-30</v>
      </c>
      <c r="B20" s="3">
        <f aca="true" t="shared" si="1" ref="B20:B32">$B$6+A20</f>
        <v>582</v>
      </c>
      <c r="C20" s="3">
        <f>VLOOKUP(B20,$F$3:$H$15,2,0)</f>
        <v>162</v>
      </c>
      <c r="D20" s="5">
        <f>VLOOKUP(B20,$F$3:$H$15,3,0)</f>
        <v>-309.3</v>
      </c>
      <c r="E20" s="5" t="str">
        <f aca="true" t="shared" si="2" ref="E20:E25">COMPLEX(0,D20,"j")</f>
        <v>-309.3j</v>
      </c>
      <c r="F20" s="20">
        <f aca="true" t="shared" si="3" ref="F20:F26">-(PI()*2*B20*$G$26)/1000</f>
        <v>-254.38725490196077</v>
      </c>
      <c r="G20" s="21">
        <f aca="true" t="shared" si="4" ref="G20:G25">-(D20*1000)/(2*PI()*B20)</f>
        <v>84.5818280039918</v>
      </c>
      <c r="H20" s="20">
        <f aca="true" t="shared" si="5" ref="H20:H25">2*PI()*B20*$I$26*1000</f>
        <v>58.720713053607355</v>
      </c>
      <c r="I20" s="3">
        <f aca="true" t="shared" si="6" ref="I20:I25">H20/(2*PI()*B20*1000)</f>
        <v>1.605788959512439E-05</v>
      </c>
      <c r="J20" s="21">
        <f aca="true" t="shared" si="7" ref="J20:J25">I20*1000000</f>
        <v>16.05788959512439</v>
      </c>
      <c r="K20" s="4" t="str">
        <f>IMDIV(IMPRODUCT(COMPLEX(C20,D20-F20,"j"),COMPLEX(0,H20,"j")),COMPLEX(C20,H20+D20-F20,"j"))</f>
        <v>21.2729506155616+58.2206716075306j</v>
      </c>
      <c r="L20" s="21">
        <f aca="true" t="shared" si="8" ref="L20:L32">IMREAL(K20)*SQRT(($B$4/IMREAL(K20))-1)</f>
        <v>24.720621005265162</v>
      </c>
      <c r="M20" s="21">
        <f aca="true" t="shared" si="9" ref="M20:M25">L20+IMAGINARY(K20)</f>
        <v>82.94129261279576</v>
      </c>
      <c r="N20" s="21">
        <f aca="true" t="shared" si="10" ref="N20:N32">$B$4/SQRT(($B$4/IMREAL(K20))-1)</f>
        <v>43.02673183459013</v>
      </c>
      <c r="O20" s="3" t="str">
        <f>COMPLEX(0,-SQRT(($B$4/IMREAL((K20)))-1)*IMREAL(K20),"j")</f>
        <v>-24.7206210052652j</v>
      </c>
      <c r="P20" s="3" t="str">
        <f>IMSUM(COMPLEX(0,0-IMAGINARY(O20),"j"),COMPLEX(0,0-IMAGINARY(K20),"j"))</f>
        <v>-33.5000506022654j</v>
      </c>
      <c r="Q20" s="3" t="str">
        <f>COMPLEX(0,0-($B$4/SQRT(($B$4/IMREAL((K20)))-1)),"j")</f>
        <v>-43.0267318345901j</v>
      </c>
      <c r="R20" s="5">
        <f>0-1/(2*PI()*B20*10^3*$H$42*10^-12)</f>
        <v>-110.09726496799462</v>
      </c>
      <c r="S20" s="5">
        <f aca="true" t="shared" si="11" ref="S20:S32">2*PI()*B20*10^3*$G$42*10^-6</f>
        <v>76.55161354146277</v>
      </c>
      <c r="T20" s="5">
        <f>0-1/(2*PI()*B20*10^3*$I$45*10^-12)</f>
        <v>-103.30348891783855</v>
      </c>
      <c r="U20" s="5">
        <f>2*PI()*B20*10^3*$I$46*10^-6</f>
        <v>46.63833700506988</v>
      </c>
      <c r="V20" s="3" t="str">
        <f>IMSUM(IMDIV(IMPRODUCT(IMSUM(COMPLEX(C20,D20,"j"),COMPLEX(0,-F20,"j")),COMPLEX(0,H20,"j")),IMSUM(IMSUM(COMPLEX(C20,D20,"j"),COMPLEX(0,-F20,"j"),COMPLEX(0,H20,"j")))),COMPLEX(0,S20,"j"),COMPLEX(0,R20,"j"))</f>
        <v>21.2729506155616+24.6750201809984j</v>
      </c>
      <c r="W20" s="3" t="str">
        <f>IMSUM(COMPLEX(0,U20,"j"),COMPLEX(0,T20,"j"))</f>
        <v>-56.6651519127691j</v>
      </c>
      <c r="X20" s="22" t="str">
        <f>FormatComplex(IMDIV(IMPRODUCT(V20,W20),IMSUM(V20,W20)),"0.00","0.00")</f>
        <v>46.28+12.93j</v>
      </c>
      <c r="Y20" s="23" t="str">
        <f>FormatComplex(IMDIV(X20,COMPLEX($B$4,0,"j")),"0.00","0.00")</f>
        <v>0.93+0.26j</v>
      </c>
      <c r="Z20" s="3" t="str">
        <f aca="true" t="shared" si="12" ref="Z20:Z25">IMSUM(COMPLEX(C20,D20,"j"),COMPLEX(0,-F20,"j"))</f>
        <v>162-54.912745098039j</v>
      </c>
      <c r="AA20" s="3" t="str">
        <f aca="true" t="shared" si="13" ref="AA20:AA25">IMPRODUCT(Z20,COMPLEX(0,H20,"j"))</f>
        <v>3224.51554788783+9512.7555146844j</v>
      </c>
      <c r="AB20" s="3" t="str">
        <f aca="true" t="shared" si="14" ref="AB20:AB25">IMSUM(Z20,COMPLEX(0,H20,"j"))</f>
        <v>162+3.8079679555684j</v>
      </c>
      <c r="AC20" s="3" t="str">
        <f aca="true" t="shared" si="15" ref="AC20:AC25">IMDIV(AA20,AB20)</f>
        <v>21.2729506155616+58.2206716075306j</v>
      </c>
      <c r="AD20" s="3" t="str">
        <f aca="true" t="shared" si="16" ref="AD20:AD25">IMSUM(AC20,COMPLEX(0,S20,"j"),COMPLEX(0,R20,"j"))</f>
        <v>21.2729506155616+24.6750201809984j</v>
      </c>
      <c r="AE20" s="3" t="str">
        <f aca="true" t="shared" si="17" ref="AE20:AE25">IMSUM(COMPLEX(0,U20,"j"),COMPLEX(0,T20,"j"))</f>
        <v>-56.6651519127691j</v>
      </c>
      <c r="AF20" s="3" t="str">
        <f aca="true" t="shared" si="18" ref="AF20:AF25">IMPRODUCT(AD20,AE20)</f>
        <v>1398.21376700692-1205.43497826363j</v>
      </c>
      <c r="AG20" s="3" t="str">
        <f aca="true" t="shared" si="19" ref="AG20:AG25">IMSUM(AD20,AE20)</f>
        <v>21.2729506155616-31.9901317317707j</v>
      </c>
      <c r="AH20" s="22" t="str">
        <f>FormatComplex(IMDIV(AF20,AG20),"0.00","0.00")</f>
        <v>46.28+12.93j</v>
      </c>
      <c r="AI20" s="23" t="str">
        <f>FormatComplex(IMDIV(AH20,COMPLEX($B$4,0,"j")),"0.00","0.00")</f>
        <v>0.93+0.26j</v>
      </c>
    </row>
    <row r="21" spans="1:35" s="3" customFormat="1" ht="12.75">
      <c r="A21" s="3">
        <v>-25</v>
      </c>
      <c r="B21" s="3">
        <f t="shared" si="1"/>
        <v>587</v>
      </c>
      <c r="C21" s="3">
        <v>155</v>
      </c>
      <c r="D21" s="5">
        <v>-304.7</v>
      </c>
      <c r="E21" s="5" t="str">
        <f t="shared" si="2"/>
        <v>-304.7j</v>
      </c>
      <c r="F21" s="20">
        <f t="shared" si="3"/>
        <v>-256.5727124183006</v>
      </c>
      <c r="G21" s="21">
        <f t="shared" si="4"/>
        <v>82.61415870545231</v>
      </c>
      <c r="H21" s="20">
        <f t="shared" si="5"/>
        <v>59.225186533449346</v>
      </c>
      <c r="I21" s="3">
        <f t="shared" si="6"/>
        <v>1.605788959512439E-05</v>
      </c>
      <c r="J21" s="21">
        <f t="shared" si="7"/>
        <v>16.05788959512439</v>
      </c>
      <c r="K21" s="4" t="str">
        <f aca="true" t="shared" si="20" ref="K21:K32">IMDIV(IMPRODUCT(COMPLEX(C21,D21-F21,"j"),COMPLEX(0,H21,"j")),COMPLEX(C21,H21+D21-F21,"j"))</f>
        <v>22.5144046550028+57.6131698378362j</v>
      </c>
      <c r="L21" s="21">
        <f t="shared" si="8"/>
        <v>24.876129437292455</v>
      </c>
      <c r="M21" s="21">
        <f t="shared" si="9"/>
        <v>82.48929927512866</v>
      </c>
      <c r="N21" s="21">
        <f t="shared" si="10"/>
        <v>45.253030041825696</v>
      </c>
      <c r="O21" s="3" t="str">
        <f aca="true" t="shared" si="21" ref="O21:O32">COMPLEX(0,-SQRT(($B$4/IMREAL((K21)))-1)*IMREAL(K21),"j")</f>
        <v>-24.8761294372925j</v>
      </c>
      <c r="P21" s="3" t="str">
        <f>IMSUM(COMPLEX(0,0-IMAGINARY(O21),"j"),COMPLEX(0,0-IMAGINARY(K21),"j"))</f>
        <v>-32.7370404005437j</v>
      </c>
      <c r="Q21" s="3" t="str">
        <f aca="true" t="shared" si="22" ref="Q21:Q32">COMPLEX(0,0-($B$4/SQRT(($B$4/IMREAL((K21)))-1)),"j")</f>
        <v>-45.2530300418257j</v>
      </c>
      <c r="R21" s="5">
        <f>0-1/(2*PI()*B21*10^3*$H$42*10^-12)</f>
        <v>-109.15946884390604</v>
      </c>
      <c r="S21" s="5">
        <f t="shared" si="11"/>
        <v>77.2092734516128</v>
      </c>
      <c r="T21" s="5">
        <f aca="true" t="shared" si="23" ref="T21:T32">0-1/(2*PI()*B21*10^3*$I$45*10^-12)</f>
        <v>-102.42356141427945</v>
      </c>
      <c r="U21" s="5">
        <f aca="true" t="shared" si="24" ref="U21:U32">2*PI()*B21*10^3*$I$46*10^-6</f>
        <v>47.03901000339523</v>
      </c>
      <c r="V21" s="3" t="str">
        <f aca="true" t="shared" si="25" ref="V21:V32">IMSUM(IMDIV(IMPRODUCT(IMSUM(COMPLEX(C21,D21,"j"),COMPLEX(0,-F21,"j")),COMPLEX(0,H21,"j")),IMSUM(IMSUM(COMPLEX(C21,D21,"j"),COMPLEX(0,-F21,"j"),COMPLEX(0,H21,"j")))),COMPLEX(0,S21,"j"),COMPLEX(0,R21,"j"))</f>
        <v>22.5144046550027+25.662974445543j</v>
      </c>
      <c r="W21" s="3" t="str">
        <f aca="true" t="shared" si="26" ref="W21:W32">IMSUM(COMPLEX(0,U21,"j"),COMPLEX(0,T21,"j"))</f>
        <v>-55.3845514108838j</v>
      </c>
      <c r="X21" s="22" t="str">
        <f aca="true" t="shared" si="27" ref="X21:X32">FormatComplex(IMDIV(IMPRODUCT(V21,W21),IMSUM(V21,W21)),"0.00","0.00")</f>
        <v>49.68+10.19j</v>
      </c>
      <c r="Y21" s="23" t="str">
        <f aca="true" t="shared" si="28" ref="Y21:Y32">FormatComplex(IMDIV(X21,COMPLEX($B$4,0,"j")),"0.00","0.00")</f>
        <v>0.99+0.20j</v>
      </c>
      <c r="Z21" s="3" t="str">
        <f t="shared" si="12"/>
        <v>155-48.127287581699j</v>
      </c>
      <c r="AA21" s="3" t="str">
        <f t="shared" si="13"/>
        <v>2850.34758437508+9179.90391268464j</v>
      </c>
      <c r="AB21" s="3" t="str">
        <f t="shared" si="14"/>
        <v>155+11.0978989517503j</v>
      </c>
      <c r="AC21" s="3" t="str">
        <f t="shared" si="15"/>
        <v>22.5144046550027+57.6131698378362j</v>
      </c>
      <c r="AD21" s="3" t="str">
        <f t="shared" si="16"/>
        <v>22.5144046550027+25.662974445543j</v>
      </c>
      <c r="AE21" s="3" t="str">
        <f t="shared" si="17"/>
        <v>-55.3845514108838j</v>
      </c>
      <c r="AF21" s="3" t="str">
        <f t="shared" si="18"/>
        <v>1421.33232753537-1246.95020210044j</v>
      </c>
      <c r="AG21" s="3" t="str">
        <f t="shared" si="19"/>
        <v>22.5144046550027-29.7215769653408j</v>
      </c>
      <c r="AH21" s="22" t="str">
        <f aca="true" t="shared" si="29" ref="AH21:AH32">FormatComplex(IMDIV(AF21,AG21),"0.00","0.00")</f>
        <v>49.68+10.19j</v>
      </c>
      <c r="AI21" s="23" t="str">
        <f aca="true" t="shared" si="30" ref="AI21:AI32">FormatComplex(IMDIV(AH21,COMPLEX($B$4,0,"j")),"0.00","0.00")</f>
        <v>0.99+0.20j</v>
      </c>
    </row>
    <row r="22" spans="1:35" s="3" customFormat="1" ht="12.75">
      <c r="A22" s="3">
        <v>-20</v>
      </c>
      <c r="B22" s="3">
        <f t="shared" si="1"/>
        <v>592</v>
      </c>
      <c r="C22" s="3">
        <v>147</v>
      </c>
      <c r="D22" s="5">
        <v>-295.8</v>
      </c>
      <c r="E22" s="5" t="str">
        <f t="shared" si="2"/>
        <v>-295.8j</v>
      </c>
      <c r="F22" s="20">
        <f t="shared" si="3"/>
        <v>-258.75816993464053</v>
      </c>
      <c r="G22" s="21">
        <f t="shared" si="4"/>
        <v>79.5237029840923</v>
      </c>
      <c r="H22" s="20">
        <f t="shared" si="5"/>
        <v>59.72966001329134</v>
      </c>
      <c r="I22" s="3">
        <f t="shared" si="6"/>
        <v>1.605788959512439E-05</v>
      </c>
      <c r="J22" s="21">
        <f t="shared" si="7"/>
        <v>16.05788959512439</v>
      </c>
      <c r="K22" s="4" t="str">
        <f t="shared" si="20"/>
        <v>23.7049432950186+56.0710632622522j</v>
      </c>
      <c r="L22" s="21">
        <f t="shared" si="8"/>
        <v>24.966434029129644</v>
      </c>
      <c r="M22" s="21">
        <f t="shared" si="9"/>
        <v>81.03749729138184</v>
      </c>
      <c r="N22" s="21">
        <f t="shared" si="10"/>
        <v>47.473626524638654</v>
      </c>
      <c r="O22" s="3" t="str">
        <f t="shared" si="21"/>
        <v>-24.9664340291296j</v>
      </c>
      <c r="P22" s="3" t="str">
        <f>IMSUM(COMPLEX(0,0-IMAGINARY(O22),"j"),COMPLEX(0,0-IMAGINARY(K22),"j"))</f>
        <v>-31.1046292331226j</v>
      </c>
      <c r="Q22" s="3" t="str">
        <f t="shared" si="22"/>
        <v>-47.4736265246387j</v>
      </c>
      <c r="R22" s="5">
        <f>0-1/(2*PI()*B22*10^3*$H$42*10^-12)</f>
        <v>-108.23751387056224</v>
      </c>
      <c r="S22" s="5">
        <f t="shared" si="11"/>
        <v>77.86693336176283</v>
      </c>
      <c r="T22" s="5">
        <f t="shared" si="23"/>
        <v>-101.55849755098315</v>
      </c>
      <c r="U22" s="5">
        <f t="shared" si="24"/>
        <v>47.43968300172057</v>
      </c>
      <c r="V22" s="3" t="str">
        <f t="shared" si="25"/>
        <v>23.7049432950186+25.7004827534529j</v>
      </c>
      <c r="W22" s="3" t="str">
        <f t="shared" si="26"/>
        <v>-54.1188145492624j</v>
      </c>
      <c r="X22" s="22" t="str">
        <f t="shared" si="27"/>
        <v>50.70+6.66j</v>
      </c>
      <c r="Y22" s="23" t="str">
        <f t="shared" si="28"/>
        <v>1.01+0.13j</v>
      </c>
      <c r="Z22" s="3" t="str">
        <f t="shared" si="12"/>
        <v>147-37.041830065359j</v>
      </c>
      <c r="AA22" s="3" t="str">
        <f t="shared" si="13"/>
        <v>2212.49591607401+8780.26002195382j</v>
      </c>
      <c r="AB22" s="3" t="str">
        <f t="shared" si="14"/>
        <v>147+22.6878299479323j</v>
      </c>
      <c r="AC22" s="3" t="str">
        <f t="shared" si="15"/>
        <v>23.7049432950186+56.0710632622521j</v>
      </c>
      <c r="AD22" s="3" t="str">
        <f t="shared" si="16"/>
        <v>23.7049432950186+25.7004827534529j</v>
      </c>
      <c r="AE22" s="3" t="str">
        <f t="shared" si="17"/>
        <v>-54.1188145492624j</v>
      </c>
      <c r="AF22" s="3" t="str">
        <f t="shared" si="18"/>
        <v>1390.87965996063-1282.88343008389j</v>
      </c>
      <c r="AG22" s="3" t="str">
        <f t="shared" si="19"/>
        <v>23.7049432950186-28.4183317958095j</v>
      </c>
      <c r="AH22" s="22" t="str">
        <f t="shared" si="29"/>
        <v>50.70+6.66j</v>
      </c>
      <c r="AI22" s="23" t="str">
        <f t="shared" si="30"/>
        <v>1.01+0.13j</v>
      </c>
    </row>
    <row r="23" spans="1:35" s="3" customFormat="1" ht="12.75">
      <c r="A23" s="3">
        <v>-15</v>
      </c>
      <c r="B23" s="3">
        <f t="shared" si="1"/>
        <v>597</v>
      </c>
      <c r="C23" s="3">
        <v>139</v>
      </c>
      <c r="D23" s="5">
        <v>-288.7</v>
      </c>
      <c r="E23" s="5" t="str">
        <f t="shared" si="2"/>
        <v>-288.7j</v>
      </c>
      <c r="F23" s="20">
        <f t="shared" si="3"/>
        <v>-260.9436274509804</v>
      </c>
      <c r="G23" s="21">
        <f t="shared" si="4"/>
        <v>76.96487784025157</v>
      </c>
      <c r="H23" s="20">
        <f t="shared" si="5"/>
        <v>60.23413349313332</v>
      </c>
      <c r="I23" s="3">
        <f t="shared" si="6"/>
        <v>1.605788959512439E-05</v>
      </c>
      <c r="J23" s="21">
        <f t="shared" si="7"/>
        <v>16.05788959512439</v>
      </c>
      <c r="K23" s="4" t="str">
        <f t="shared" si="20"/>
        <v>24.7505788127818+54.4510875801119j</v>
      </c>
      <c r="L23" s="21">
        <f t="shared" si="8"/>
        <v>24.998755750464195</v>
      </c>
      <c r="M23" s="21">
        <f t="shared" si="9"/>
        <v>79.4498433305761</v>
      </c>
      <c r="N23" s="21">
        <f t="shared" si="10"/>
        <v>49.5036214198825</v>
      </c>
      <c r="O23" s="3" t="str">
        <f t="shared" si="21"/>
        <v>-24.9987557504642j</v>
      </c>
      <c r="P23" s="3" t="str">
        <f>IMSUM(COMPLEX(0,0-IMAGINARY(O23),"j"),COMPLEX(0,0-IMAGINARY(K23),"j"))</f>
        <v>-29.4523318296477j</v>
      </c>
      <c r="Q23" s="3" t="str">
        <f t="shared" si="22"/>
        <v>-49.5036214198825j</v>
      </c>
      <c r="R23" s="5">
        <f>0-1/(2*PI()*B23*10^3*$H$42*10^-12)</f>
        <v>-107.33100202910026</v>
      </c>
      <c r="S23" s="5">
        <f>2*PI()*B23*10^3*$G$42*10^-6</f>
        <v>78.52459327191285</v>
      </c>
      <c r="T23" s="5">
        <f t="shared" si="23"/>
        <v>-100.70792386965165</v>
      </c>
      <c r="U23" s="5">
        <f t="shared" si="24"/>
        <v>47.840356000045915</v>
      </c>
      <c r="V23" s="3" t="str">
        <f t="shared" si="25"/>
        <v>24.7505788127818+25.6446788229248j</v>
      </c>
      <c r="W23" s="3" t="str">
        <f t="shared" si="26"/>
        <v>-52.8675678696061j</v>
      </c>
      <c r="X23" s="22" t="str">
        <f t="shared" si="27"/>
        <v>51.10+3.34j</v>
      </c>
      <c r="Y23" s="23" t="str">
        <f t="shared" si="28"/>
        <v>1.02+0.07j</v>
      </c>
      <c r="Z23" s="3" t="str">
        <f t="shared" si="12"/>
        <v>139-27.75637254902j</v>
      </c>
      <c r="AA23" s="3" t="str">
        <f t="shared" si="13"/>
        <v>1671.88104940281+8372.54455554553j</v>
      </c>
      <c r="AB23" s="3" t="str">
        <f t="shared" si="14"/>
        <v>139+32.4777609441133j</v>
      </c>
      <c r="AC23" s="3" t="str">
        <f t="shared" si="15"/>
        <v>24.7505788127818+54.451087580112j</v>
      </c>
      <c r="AD23" s="3" t="str">
        <f t="shared" si="16"/>
        <v>24.7505788127818+25.6446788229248j</v>
      </c>
      <c r="AE23" s="3" t="str">
        <f t="shared" si="17"/>
        <v>-52.8675678696061j</v>
      </c>
      <c r="AF23" s="3" t="str">
        <f t="shared" si="18"/>
        <v>1355.77179816523-1308.50290519678j</v>
      </c>
      <c r="AG23" s="3" t="str">
        <f t="shared" si="19"/>
        <v>24.7505788127818-27.2228890466813j</v>
      </c>
      <c r="AH23" s="22" t="str">
        <f t="shared" si="29"/>
        <v>51.10+3.34j</v>
      </c>
      <c r="AI23" s="23" t="str">
        <f t="shared" si="30"/>
        <v>1.02+0.07j</v>
      </c>
    </row>
    <row r="24" spans="1:35" s="3" customFormat="1" ht="12.75">
      <c r="A24" s="3">
        <f>-10</f>
        <v>-10</v>
      </c>
      <c r="B24" s="3">
        <f t="shared" si="1"/>
        <v>602</v>
      </c>
      <c r="C24" s="3">
        <v>129</v>
      </c>
      <c r="D24" s="5">
        <v>-281.4</v>
      </c>
      <c r="E24" s="5" t="str">
        <f t="shared" si="2"/>
        <v>-281.4j</v>
      </c>
      <c r="F24" s="20">
        <f t="shared" si="3"/>
        <v>-263.12908496732024</v>
      </c>
      <c r="G24" s="21">
        <f t="shared" si="4"/>
        <v>74.39568270109527</v>
      </c>
      <c r="H24" s="20">
        <f t="shared" si="5"/>
        <v>60.73860697297531</v>
      </c>
      <c r="I24" s="3">
        <f t="shared" si="6"/>
        <v>1.605788959512439E-05</v>
      </c>
      <c r="J24" s="21">
        <f t="shared" si="7"/>
        <v>16.05788959512439</v>
      </c>
      <c r="K24" s="4" t="str">
        <f t="shared" si="20"/>
        <v>25.8019401594217+52.2444298710197j</v>
      </c>
      <c r="L24" s="21">
        <f t="shared" si="8"/>
        <v>24.98713452920736</v>
      </c>
      <c r="M24" s="21">
        <f t="shared" si="9"/>
        <v>77.23156440022706</v>
      </c>
      <c r="N24" s="21">
        <f t="shared" si="10"/>
        <v>51.63045032086796</v>
      </c>
      <c r="O24" s="3" t="str">
        <f t="shared" si="21"/>
        <v>-24.9871345292074j</v>
      </c>
      <c r="P24" s="3" t="str">
        <f>IMSUM(COMPLEX(0,0-IMAGINARY(O24),"j"),COMPLEX(0,0-IMAGINARY(K24),"j"))</f>
        <v>-27.2572953418123j</v>
      </c>
      <c r="Q24" s="3" t="str">
        <f t="shared" si="22"/>
        <v>-51.630450320868j</v>
      </c>
      <c r="R24" s="5">
        <f>0-1/(2*PI()*B24*10^3*$H$42*10^-12)</f>
        <v>-106.43954852387517</v>
      </c>
      <c r="S24" s="5">
        <f t="shared" si="11"/>
        <v>79.18225318206288</v>
      </c>
      <c r="T24" s="5">
        <f t="shared" si="23"/>
        <v>-99.87147931923926</v>
      </c>
      <c r="U24" s="5">
        <f t="shared" si="24"/>
        <v>48.241028998371256</v>
      </c>
      <c r="V24" s="3" t="str">
        <f t="shared" si="25"/>
        <v>25.8019401594218+24.9871345292077j</v>
      </c>
      <c r="W24" s="3" t="str">
        <f t="shared" si="26"/>
        <v>-51.630450320868j</v>
      </c>
      <c r="X24" s="22" t="str">
        <f t="shared" si="27"/>
        <v>50.00-0.00j</v>
      </c>
      <c r="Y24" s="23" t="str">
        <f t="shared" si="28"/>
        <v>1.00</v>
      </c>
      <c r="Z24" s="3" t="str">
        <f t="shared" si="12"/>
        <v>129-18.27091503268j</v>
      </c>
      <c r="AA24" s="3" t="str">
        <f t="shared" si="13"/>
        <v>1109.74992720658+7835.28029951381j</v>
      </c>
      <c r="AB24" s="3" t="str">
        <f t="shared" si="14"/>
        <v>129+42.4676919402953j</v>
      </c>
      <c r="AC24" s="3" t="str">
        <f t="shared" si="15"/>
        <v>25.8019401594218+52.2444298710198j</v>
      </c>
      <c r="AD24" s="3" t="str">
        <f t="shared" si="16"/>
        <v>25.8019401594218+24.9871345292077j</v>
      </c>
      <c r="AE24" s="3" t="str">
        <f t="shared" si="17"/>
        <v>-51.630450320868j</v>
      </c>
      <c r="AF24" s="3" t="str">
        <f t="shared" si="18"/>
        <v>1290.0970079711-1332.16578958304j</v>
      </c>
      <c r="AG24" s="3" t="str">
        <f t="shared" si="19"/>
        <v>25.8019401594218-26.6433157916603j</v>
      </c>
      <c r="AH24" s="22" t="str">
        <f>FormatComplex(IMDIV(AF24,AG24),"0.00","0.00")</f>
        <v>50.00-0.00j</v>
      </c>
      <c r="AI24" s="23" t="str">
        <f t="shared" si="30"/>
        <v>1.00</v>
      </c>
    </row>
    <row r="25" spans="1:35" s="3" customFormat="1" ht="12.75">
      <c r="A25" s="3">
        <v>-5</v>
      </c>
      <c r="B25" s="3">
        <f t="shared" si="1"/>
        <v>607</v>
      </c>
      <c r="C25" s="3">
        <v>126</v>
      </c>
      <c r="D25" s="5">
        <v>-275.8</v>
      </c>
      <c r="E25" s="5" t="str">
        <f t="shared" si="2"/>
        <v>-275.8j</v>
      </c>
      <c r="F25" s="20">
        <f t="shared" si="3"/>
        <v>-265.31454248366015</v>
      </c>
      <c r="G25" s="21">
        <f t="shared" si="4"/>
        <v>72.31455239661406</v>
      </c>
      <c r="H25" s="20">
        <f t="shared" si="5"/>
        <v>61.243080452817296</v>
      </c>
      <c r="I25" s="3">
        <f t="shared" si="6"/>
        <v>1.605788959512439E-05</v>
      </c>
      <c r="J25" s="21">
        <f t="shared" si="7"/>
        <v>16.05788959512439</v>
      </c>
      <c r="K25" s="4" t="str">
        <f t="shared" si="20"/>
        <v>25.6113952451946+50.9258301136691j</v>
      </c>
      <c r="L25" s="21">
        <f t="shared" si="8"/>
        <v>24.992522798912347</v>
      </c>
      <c r="M25" s="21">
        <f t="shared" si="9"/>
        <v>75.91835291258144</v>
      </c>
      <c r="N25" s="21">
        <f t="shared" si="10"/>
        <v>51.23811519801672</v>
      </c>
      <c r="O25" s="3" t="str">
        <f t="shared" si="21"/>
        <v>-24.9925227989123j</v>
      </c>
      <c r="P25" s="3" t="str">
        <f aca="true" t="shared" si="31" ref="P25:P32">IMSUM(COMPLEX(0,0-IMAGINARY(O25),"j"),COMPLEX(0,0-IMAGINARY(K25),"j"))</f>
        <v>-25.9333073147568j</v>
      </c>
      <c r="Q25" s="3" t="str">
        <f t="shared" si="22"/>
        <v>-51.2381151980167j</v>
      </c>
      <c r="R25" s="5">
        <f aca="true" t="shared" si="32" ref="R25:R32">0-1/(2*PI()*B25*10^3*$H$42*10^-12)</f>
        <v>-105.56278123784655</v>
      </c>
      <c r="S25" s="5">
        <f t="shared" si="11"/>
        <v>79.8399130922129</v>
      </c>
      <c r="T25" s="5">
        <f t="shared" si="23"/>
        <v>-99.04881474494569</v>
      </c>
      <c r="U25" s="5">
        <f t="shared" si="24"/>
        <v>48.6417019966966</v>
      </c>
      <c r="V25" s="3" t="str">
        <f t="shared" si="25"/>
        <v>25.6113952451946+25.202961968035j</v>
      </c>
      <c r="W25" s="3" t="str">
        <f t="shared" si="26"/>
        <v>-50.4071127482491j</v>
      </c>
      <c r="X25" s="22" t="str">
        <f t="shared" si="27"/>
        <v>50.40-0.81j</v>
      </c>
      <c r="Y25" s="23" t="str">
        <f t="shared" si="28"/>
        <v>1.01-0.02j</v>
      </c>
      <c r="Z25" s="3" t="str">
        <f t="shared" si="12"/>
        <v>126-10.48545751634j</v>
      </c>
      <c r="AA25" s="3" t="str">
        <f t="shared" si="13"/>
        <v>642.161718257809+7716.62813705498j</v>
      </c>
      <c r="AB25" s="3" t="str">
        <f t="shared" si="14"/>
        <v>126+50.7576229364773j</v>
      </c>
      <c r="AC25" s="3" t="str">
        <f t="shared" si="15"/>
        <v>25.6113952451946+50.9258301136691j</v>
      </c>
      <c r="AD25" s="3" t="str">
        <f t="shared" si="16"/>
        <v>25.6113952451946+25.202961968035j</v>
      </c>
      <c r="AE25" s="3" t="str">
        <f t="shared" si="17"/>
        <v>-50.4071127482491j</v>
      </c>
      <c r="AF25" s="3" t="str">
        <f t="shared" si="18"/>
        <v>1270.40854551257-1290.9964877645j</v>
      </c>
      <c r="AG25" s="3" t="str">
        <f t="shared" si="19"/>
        <v>25.6113952451946-25.2041507802141j</v>
      </c>
      <c r="AH25" s="22" t="str">
        <f>FormatComplex(IMDIV(AF25,AG25),"0.00","0.00")</f>
        <v>50.40-0.81j</v>
      </c>
      <c r="AI25" s="23" t="str">
        <f t="shared" si="30"/>
        <v>1.01-0.02j</v>
      </c>
    </row>
    <row r="26" spans="1:35" s="3" customFormat="1" ht="12.75">
      <c r="A26" s="3">
        <v>0</v>
      </c>
      <c r="B26" s="3">
        <f t="shared" si="1"/>
        <v>612</v>
      </c>
      <c r="C26" s="3">
        <v>121</v>
      </c>
      <c r="D26" s="5">
        <v>-267.5</v>
      </c>
      <c r="E26" s="5" t="str">
        <f aca="true" t="shared" si="33" ref="E26:E31">COMPLEX(0,D26,"j")</f>
        <v>-267.5j</v>
      </c>
      <c r="F26" s="20">
        <f t="shared" si="3"/>
        <v>-267.5</v>
      </c>
      <c r="G26" s="21">
        <f>-(D26*1000)/(2*PI()*B26)</f>
        <v>69.56527332856537</v>
      </c>
      <c r="H26" s="21">
        <f>C26*(SQRT(($B$2)/(C26-$B$2)))</f>
        <v>61.74755393265929</v>
      </c>
      <c r="I26" s="3">
        <f>H26/(2*PI()*B26*1000)</f>
        <v>1.605788959512439E-05</v>
      </c>
      <c r="J26" s="21">
        <f aca="true" t="shared" si="34" ref="J26:J32">I26*1000000</f>
        <v>16.05788959512439</v>
      </c>
      <c r="K26" s="4" t="str">
        <f t="shared" si="20"/>
        <v>25+48.9897948556636j</v>
      </c>
      <c r="L26" s="21">
        <f t="shared" si="8"/>
        <v>25</v>
      </c>
      <c r="M26" s="21">
        <f>L26+IMAGINARY(K26)</f>
        <v>73.9897948556636</v>
      </c>
      <c r="N26" s="21">
        <f t="shared" si="10"/>
        <v>50</v>
      </c>
      <c r="O26" s="3" t="str">
        <f t="shared" si="21"/>
        <v>-25j</v>
      </c>
      <c r="P26" s="3" t="str">
        <f t="shared" si="31"/>
        <v>-23.9897948556636j</v>
      </c>
      <c r="Q26" s="3" t="str">
        <f t="shared" si="22"/>
        <v>-50j</v>
      </c>
      <c r="R26" s="5">
        <f t="shared" si="32"/>
        <v>-104.70034021466151</v>
      </c>
      <c r="S26" s="5">
        <f t="shared" si="11"/>
        <v>80.49757300236293</v>
      </c>
      <c r="T26" s="5">
        <f t="shared" si="23"/>
        <v>-98.23959240225821</v>
      </c>
      <c r="U26" s="5">
        <f t="shared" si="24"/>
        <v>49.042374995021945</v>
      </c>
      <c r="V26" s="3" t="str">
        <f>IMSUM(IMDIV(IMPRODUCT(IMSUM(COMPLEX(C26,D26,"j"),COMPLEX(0,-F26,"j")),COMPLEX(0,H26,"j")),IMSUM(IMSUM(COMPLEX(C26,D26,"j"),COMPLEX(0,-F26,"j"),COMPLEX(0,H26,"j")))),COMPLEX(0,S26,"j"),COMPLEX(0,R26,"j"))</f>
        <v>25+24.7870276433645j</v>
      </c>
      <c r="W26" s="3" t="str">
        <f t="shared" si="26"/>
        <v>-49.1972174072363j</v>
      </c>
      <c r="X26" s="22" t="str">
        <f t="shared" si="27"/>
        <v>49.56-0.80j</v>
      </c>
      <c r="Y26" s="23" t="str">
        <f t="shared" si="28"/>
        <v>0.99-0.02j</v>
      </c>
      <c r="Z26" s="3" t="str">
        <f>IMSUM(COMPLEX(C26,D26,"j"),COMPLEX(0,-F26,"j"))</f>
        <v>121</v>
      </c>
      <c r="AA26" s="3" t="str">
        <f>IMPRODUCT(Z26,COMPLEX(0,H26,"j"))</f>
        <v>7471.45402585178j</v>
      </c>
      <c r="AB26" s="3" t="str">
        <f>IMSUM(Z26,COMPLEX(0,H26,"j"))</f>
        <v>121+61.7475539326593j</v>
      </c>
      <c r="AC26" s="3" t="str">
        <f>IMDIV(AA26,AB26)</f>
        <v>25+48.9897948556636j</v>
      </c>
      <c r="AD26" s="3" t="str">
        <f>IMSUM(AC26,COMPLEX(0,S26,"j"),COMPLEX(0,R26,"j"))</f>
        <v>25+24.7870276433645j</v>
      </c>
      <c r="AE26" s="3" t="str">
        <f>IMSUM(COMPLEX(0,U26,"j"),COMPLEX(0,T26,"j"))</f>
        <v>-49.1972174072363j</v>
      </c>
      <c r="AF26" s="3" t="str">
        <f>IMPRODUCT(AD26,AE26)</f>
        <v>1219.45278784978-1229.93043518091j</v>
      </c>
      <c r="AG26" s="3" t="str">
        <f>IMSUM(AD26,AE26)</f>
        <v>25-24.4101897638718j</v>
      </c>
      <c r="AH26" s="22" t="str">
        <f t="shared" si="29"/>
        <v>49.56-0.80j</v>
      </c>
      <c r="AI26" s="23" t="str">
        <f t="shared" si="30"/>
        <v>0.99-0.02j</v>
      </c>
    </row>
    <row r="27" spans="1:35" s="3" customFormat="1" ht="12.75">
      <c r="A27" s="3">
        <v>5</v>
      </c>
      <c r="B27" s="3">
        <f t="shared" si="1"/>
        <v>617</v>
      </c>
      <c r="C27" s="3">
        <v>116</v>
      </c>
      <c r="D27" s="5">
        <v>-261.9</v>
      </c>
      <c r="E27" s="5" t="str">
        <f t="shared" si="33"/>
        <v>-261.9j</v>
      </c>
      <c r="F27" s="20">
        <f aca="true" t="shared" si="35" ref="F27:F32">-(PI()*2*B27*$G$26)/1000</f>
        <v>-269.68545751633985</v>
      </c>
      <c r="G27" s="21">
        <f aca="true" t="shared" si="36" ref="G27:G32">-(D27*1000)/(2*PI()*B27)</f>
        <v>67.55701717304277</v>
      </c>
      <c r="H27" s="20">
        <f aca="true" t="shared" si="37" ref="H27:H32">2*PI()*B27*$I$26*1000</f>
        <v>62.25202741250127</v>
      </c>
      <c r="I27" s="3">
        <f aca="true" t="shared" si="38" ref="I27:I32">H27/(2*PI()*B27*1000)</f>
        <v>1.605788959512439E-05</v>
      </c>
      <c r="J27" s="21">
        <f t="shared" si="34"/>
        <v>16.05788959512439</v>
      </c>
      <c r="K27" s="4" t="str">
        <f t="shared" si="20"/>
        <v>24.482894553733+47.4699553580057j</v>
      </c>
      <c r="L27" s="21">
        <f t="shared" si="8"/>
        <v>24.99465146701272</v>
      </c>
      <c r="M27" s="21">
        <f aca="true" t="shared" si="39" ref="M27:M32">L27+IMAGINARY(K27)</f>
        <v>72.46460682501842</v>
      </c>
      <c r="N27" s="21">
        <f t="shared" si="10"/>
        <v>48.97626715468483</v>
      </c>
      <c r="O27" s="3" t="str">
        <f t="shared" si="21"/>
        <v>-24.9946514670127j</v>
      </c>
      <c r="P27" s="3" t="str">
        <f t="shared" si="31"/>
        <v>-22.475303890993j</v>
      </c>
      <c r="Q27" s="3" t="str">
        <f t="shared" si="22"/>
        <v>-48.9762671546848j</v>
      </c>
      <c r="R27" s="5">
        <f t="shared" si="32"/>
        <v>-103.85187716592034</v>
      </c>
      <c r="S27" s="5">
        <f t="shared" si="11"/>
        <v>81.15523291251294</v>
      </c>
      <c r="T27" s="5">
        <f t="shared" si="23"/>
        <v>-97.44348549462242</v>
      </c>
      <c r="U27" s="5">
        <f t="shared" si="24"/>
        <v>49.443047993347285</v>
      </c>
      <c r="V27" s="3" t="str">
        <f t="shared" si="25"/>
        <v>24.482894553733+24.7733111045986j</v>
      </c>
      <c r="W27" s="3" t="str">
        <f t="shared" si="26"/>
        <v>-48.0004375012751j</v>
      </c>
      <c r="X27" s="22" t="str">
        <f t="shared" si="27"/>
        <v>49.53-1.01j</v>
      </c>
      <c r="Y27" s="23" t="str">
        <f t="shared" si="28"/>
        <v>0.99-0.02j</v>
      </c>
      <c r="Z27" s="3" t="str">
        <f aca="true" t="shared" si="40" ref="Z27:Z32">IMSUM(COMPLEX(C27,D27,"j"),COMPLEX(0,-F27,"j"))</f>
        <v>116+7.78545751634005j</v>
      </c>
      <c r="AA27" s="3" t="str">
        <f aca="true" t="shared" si="41" ref="AA27:AA32">IMPRODUCT(Z27,COMPLEX(0,H27,"j"))</f>
        <v>-484.660514726065+7221.23517985015j</v>
      </c>
      <c r="AB27" s="3" t="str">
        <f aca="true" t="shared" si="42" ref="AB27:AB32">IMSUM(Z27,COMPLEX(0,H27,"j"))</f>
        <v>116+70.0374849288414j</v>
      </c>
      <c r="AC27" s="3" t="str">
        <f aca="true" t="shared" si="43" ref="AC27:AC32">IMDIV(AA27,AB27)</f>
        <v>24.482894553733+47.4699553580057j</v>
      </c>
      <c r="AD27" s="3" t="str">
        <f aca="true" t="shared" si="44" ref="AD27:AD32">IMSUM(AC27,COMPLEX(0,S27,"j"),COMPLEX(0,R27,"j"))</f>
        <v>24.482894553733+24.7733111045986j</v>
      </c>
      <c r="AE27" s="3" t="str">
        <f aca="true" t="shared" si="45" ref="AE27:AE32">IMSUM(COMPLEX(0,U27,"j"),COMPLEX(0,T27,"j"))</f>
        <v>-48.0004375012751j</v>
      </c>
      <c r="AF27" s="3" t="str">
        <f aca="true" t="shared" si="46" ref="AF27:AF32">IMPRODUCT(AD27,AE27)</f>
        <v>1189.12977137593-1175.18964987677j</v>
      </c>
      <c r="AG27" s="3" t="str">
        <f aca="true" t="shared" si="47" ref="AG27:AG32">IMSUM(AD27,AE27)</f>
        <v>24.482894553733-23.2271263966765j</v>
      </c>
      <c r="AH27" s="22" t="str">
        <f t="shared" si="29"/>
        <v>49.53-1.01j</v>
      </c>
      <c r="AI27" s="23" t="str">
        <f t="shared" si="30"/>
        <v>0.99-0.02j</v>
      </c>
    </row>
    <row r="28" spans="1:35" s="3" customFormat="1" ht="12.75">
      <c r="A28" s="3">
        <v>10</v>
      </c>
      <c r="B28" s="3">
        <f t="shared" si="1"/>
        <v>622</v>
      </c>
      <c r="C28" s="3">
        <v>112</v>
      </c>
      <c r="D28" s="5">
        <v>-255</v>
      </c>
      <c r="E28" s="5" t="str">
        <f t="shared" si="33"/>
        <v>-255j</v>
      </c>
      <c r="F28" s="20">
        <f t="shared" si="35"/>
        <v>-271.87091503267976</v>
      </c>
      <c r="G28" s="21">
        <f t="shared" si="36"/>
        <v>65.24840914539118</v>
      </c>
      <c r="H28" s="20">
        <f t="shared" si="37"/>
        <v>62.75650089234326</v>
      </c>
      <c r="I28" s="3">
        <f t="shared" si="38"/>
        <v>1.605788959512439E-05</v>
      </c>
      <c r="J28" s="21">
        <f t="shared" si="34"/>
        <v>16.05788959512439</v>
      </c>
      <c r="K28" s="4" t="str">
        <f t="shared" si="20"/>
        <v>23.3576630974954+46.1501584414431j</v>
      </c>
      <c r="L28" s="21">
        <f t="shared" si="8"/>
        <v>24.945996261898856</v>
      </c>
      <c r="M28" s="21">
        <f t="shared" si="39"/>
        <v>71.09615470334195</v>
      </c>
      <c r="N28" s="21">
        <f t="shared" si="10"/>
        <v>46.81645674173898</v>
      </c>
      <c r="O28" s="3" t="str">
        <f t="shared" si="21"/>
        <v>-24.9459962618989j</v>
      </c>
      <c r="P28" s="3" t="str">
        <f t="shared" si="31"/>
        <v>-21.2041621795442j</v>
      </c>
      <c r="Q28" s="3" t="str">
        <f t="shared" si="22"/>
        <v>-46.816456741739j</v>
      </c>
      <c r="R28" s="5">
        <f t="shared" si="32"/>
        <v>-103.01705500220716</v>
      </c>
      <c r="S28" s="5">
        <f t="shared" si="11"/>
        <v>81.81289282266296</v>
      </c>
      <c r="T28" s="5">
        <f t="shared" si="23"/>
        <v>-96.66017773341163</v>
      </c>
      <c r="U28" s="5">
        <f t="shared" si="24"/>
        <v>49.843720991672626</v>
      </c>
      <c r="V28" s="3" t="str">
        <f t="shared" si="25"/>
        <v>23.3576630974954+24.945996261899j</v>
      </c>
      <c r="W28" s="3" t="str">
        <f t="shared" si="26"/>
        <v>-46.816456741739j</v>
      </c>
      <c r="X28" s="22" t="str">
        <f t="shared" si="27"/>
        <v>50.00-0.00j</v>
      </c>
      <c r="Y28" s="23" t="str">
        <f t="shared" si="28"/>
        <v>1.00</v>
      </c>
      <c r="Z28" s="3" t="str">
        <f t="shared" si="40"/>
        <v>112+16.87091503268j</v>
      </c>
      <c r="AA28" s="3" t="str">
        <f t="shared" si="41"/>
        <v>-1058.75959430303+7028.72809994245j</v>
      </c>
      <c r="AB28" s="3" t="str">
        <f t="shared" si="42"/>
        <v>112+79.6274159250233j</v>
      </c>
      <c r="AC28" s="3" t="str">
        <f t="shared" si="43"/>
        <v>23.3576630974954+46.150158441443j</v>
      </c>
      <c r="AD28" s="3" t="str">
        <f t="shared" si="44"/>
        <v>23.3576630974954+24.945996261899j</v>
      </c>
      <c r="AE28" s="3" t="str">
        <f t="shared" si="45"/>
        <v>-46.816456741739j</v>
      </c>
      <c r="AF28" s="3" t="str">
        <f t="shared" si="46"/>
        <v>1167.88315487478-1093.52302399201j</v>
      </c>
      <c r="AG28" s="3" t="str">
        <f t="shared" si="47"/>
        <v>23.3576630974954-21.87046047984j</v>
      </c>
      <c r="AH28" s="22" t="str">
        <f t="shared" si="29"/>
        <v>50.00-0.00j</v>
      </c>
      <c r="AI28" s="23" t="str">
        <f t="shared" si="30"/>
        <v>1.00</v>
      </c>
    </row>
    <row r="29" spans="1:35" s="3" customFormat="1" ht="12.75">
      <c r="A29" s="3">
        <v>15</v>
      </c>
      <c r="B29" s="3">
        <f t="shared" si="1"/>
        <v>627</v>
      </c>
      <c r="C29" s="3">
        <v>105</v>
      </c>
      <c r="D29" s="5">
        <v>-248.4</v>
      </c>
      <c r="E29" s="5" t="str">
        <f t="shared" si="33"/>
        <v>-248.4j</v>
      </c>
      <c r="F29" s="20">
        <f t="shared" si="35"/>
        <v>-274.0563725490196</v>
      </c>
      <c r="G29" s="21">
        <f t="shared" si="36"/>
        <v>63.05277171296141</v>
      </c>
      <c r="H29" s="20">
        <f t="shared" si="37"/>
        <v>63.26097437218525</v>
      </c>
      <c r="I29" s="3">
        <f t="shared" si="38"/>
        <v>1.605788959512439E-05</v>
      </c>
      <c r="J29" s="21">
        <f t="shared" si="34"/>
        <v>16.05788959512439</v>
      </c>
      <c r="K29" s="4" t="str">
        <f t="shared" si="20"/>
        <v>22.1963078325625+44.4644333824918j</v>
      </c>
      <c r="L29" s="21">
        <f t="shared" si="8"/>
        <v>24.842288747823734</v>
      </c>
      <c r="M29" s="21">
        <f t="shared" si="39"/>
        <v>69.30672213031553</v>
      </c>
      <c r="N29" s="21">
        <f t="shared" si="10"/>
        <v>44.67444215361793</v>
      </c>
      <c r="O29" s="3" t="str">
        <f t="shared" si="21"/>
        <v>-24.8422887478237j</v>
      </c>
      <c r="P29" s="3" t="str">
        <f>IMSUM(COMPLEX(0,0-IMAGINARY(O29),"j"),COMPLEX(0,0-IMAGINARY(K29),"j"))</f>
        <v>-19.6221446346681j</v>
      </c>
      <c r="Q29" s="3" t="str">
        <f t="shared" si="22"/>
        <v>-44.6744421536179j</v>
      </c>
      <c r="R29" s="5">
        <f t="shared" si="32"/>
        <v>-102.19554738655957</v>
      </c>
      <c r="S29" s="5">
        <f t="shared" si="11"/>
        <v>82.47055273281299</v>
      </c>
      <c r="T29" s="5">
        <f t="shared" si="23"/>
        <v>-95.8893629189506</v>
      </c>
      <c r="U29" s="5">
        <f t="shared" si="24"/>
        <v>50.244393989997974</v>
      </c>
      <c r="V29" s="3" t="str">
        <f t="shared" si="25"/>
        <v>22.1963078325624+24.7394387287448j</v>
      </c>
      <c r="W29" s="3" t="str">
        <f t="shared" si="26"/>
        <v>-45.6449689289526j</v>
      </c>
      <c r="X29" s="22" t="str">
        <f t="shared" si="27"/>
        <v>49.74+1.20j</v>
      </c>
      <c r="Y29" s="23" t="str">
        <f t="shared" si="28"/>
        <v>0.99+0.02j</v>
      </c>
      <c r="Z29" s="3" t="str">
        <f t="shared" si="40"/>
        <v>105+25.65637254902j</v>
      </c>
      <c r="AA29" s="3" t="str">
        <f t="shared" si="41"/>
        <v>-1623.04712630679+6642.40230907946j</v>
      </c>
      <c r="AB29" s="3" t="str">
        <f t="shared" si="42"/>
        <v>105+88.9173469212053j</v>
      </c>
      <c r="AC29" s="3" t="str">
        <f t="shared" si="43"/>
        <v>22.1963078325624+44.4644333824918j</v>
      </c>
      <c r="AD29" s="3" t="str">
        <f t="shared" si="44"/>
        <v>22.1963078325624+24.7394387287448j</v>
      </c>
      <c r="AE29" s="3" t="str">
        <f t="shared" si="45"/>
        <v>-45.6449689289526j</v>
      </c>
      <c r="AF29" s="3" t="str">
        <f t="shared" si="46"/>
        <v>1129.23091209328-1013.14978135478j</v>
      </c>
      <c r="AG29" s="3" t="str">
        <f t="shared" si="47"/>
        <v>22.1963078325624-20.9055302002078j</v>
      </c>
      <c r="AH29" s="22" t="str">
        <f t="shared" si="29"/>
        <v>49.74+1.20j</v>
      </c>
      <c r="AI29" s="23" t="str">
        <f t="shared" si="30"/>
        <v>0.99+0.02j</v>
      </c>
    </row>
    <row r="30" spans="1:35" s="3" customFormat="1" ht="12.75">
      <c r="A30" s="3">
        <v>20</v>
      </c>
      <c r="B30" s="3">
        <f t="shared" si="1"/>
        <v>632</v>
      </c>
      <c r="C30" s="3">
        <v>99</v>
      </c>
      <c r="D30" s="5">
        <v>-241.6</v>
      </c>
      <c r="E30" s="5" t="str">
        <f t="shared" si="33"/>
        <v>-241.6j</v>
      </c>
      <c r="F30" s="20">
        <f t="shared" si="35"/>
        <v>-276.24183006535947</v>
      </c>
      <c r="G30" s="21">
        <f t="shared" si="36"/>
        <v>60.84150989082581</v>
      </c>
      <c r="H30" s="20">
        <f t="shared" si="37"/>
        <v>63.76544785202724</v>
      </c>
      <c r="I30" s="3">
        <f t="shared" si="38"/>
        <v>1.605788959512439E-05</v>
      </c>
      <c r="J30" s="21">
        <f t="shared" si="34"/>
        <v>16.05788959512439</v>
      </c>
      <c r="K30" s="4" t="str">
        <f t="shared" si="20"/>
        <v>20.6588329349228+43.2303012452008j</v>
      </c>
      <c r="L30" s="21">
        <f t="shared" si="8"/>
        <v>24.62020041577828</v>
      </c>
      <c r="M30" s="21">
        <f t="shared" si="39"/>
        <v>67.85050166097908</v>
      </c>
      <c r="N30" s="21">
        <f t="shared" si="10"/>
        <v>41.95504623447994</v>
      </c>
      <c r="O30" s="3" t="str">
        <f t="shared" si="21"/>
        <v>-24.6202004157783j</v>
      </c>
      <c r="P30" s="3" t="str">
        <f t="shared" si="31"/>
        <v>-18.6101008294225j</v>
      </c>
      <c r="Q30" s="3" t="str">
        <f t="shared" si="22"/>
        <v>-41.9550462344799j</v>
      </c>
      <c r="R30" s="5">
        <f t="shared" si="32"/>
        <v>-101.38703830913427</v>
      </c>
      <c r="S30" s="5">
        <f t="shared" si="11"/>
        <v>83.12821264296302</v>
      </c>
      <c r="T30" s="5">
        <f t="shared" si="23"/>
        <v>-95.13074454142725</v>
      </c>
      <c r="U30" s="5">
        <f t="shared" si="24"/>
        <v>50.645066988323315</v>
      </c>
      <c r="V30" s="3" t="str">
        <f t="shared" si="25"/>
        <v>20.6588329349229+24.9714755790298j</v>
      </c>
      <c r="W30" s="3" t="str">
        <f t="shared" si="26"/>
        <v>-44.4856775531039j</v>
      </c>
      <c r="X30" s="22" t="str">
        <f t="shared" si="27"/>
        <v>50.62+3.33j</v>
      </c>
      <c r="Y30" s="23" t="str">
        <f t="shared" si="28"/>
        <v>1.01+0.07j</v>
      </c>
      <c r="Z30" s="3" t="str">
        <f t="shared" si="40"/>
        <v>99+34.641830065359j</v>
      </c>
      <c r="AA30" s="3" t="str">
        <f t="shared" si="41"/>
        <v>-2208.95180853144+6312.77933735069j</v>
      </c>
      <c r="AB30" s="3" t="str">
        <f t="shared" si="42"/>
        <v>99+98.4072779173862j</v>
      </c>
      <c r="AC30" s="3" t="str">
        <f t="shared" si="43"/>
        <v>20.6588329349229+43.2303012452008j</v>
      </c>
      <c r="AD30" s="3" t="str">
        <f t="shared" si="44"/>
        <v>20.6588329349229+24.9714755790298j</v>
      </c>
      <c r="AE30" s="3" t="str">
        <f t="shared" si="45"/>
        <v>-44.4856775531039j</v>
      </c>
      <c r="AF30" s="3" t="str">
        <f t="shared" si="46"/>
        <v>1110.87301063393-919.022180566423j</v>
      </c>
      <c r="AG30" s="3" t="str">
        <f t="shared" si="47"/>
        <v>20.6588329349229-19.5142019740741j</v>
      </c>
      <c r="AH30" s="22" t="str">
        <f t="shared" si="29"/>
        <v>50.62+3.33j</v>
      </c>
      <c r="AI30" s="23" t="str">
        <f t="shared" si="30"/>
        <v>1.01+0.07j</v>
      </c>
    </row>
    <row r="31" spans="1:35" s="3" customFormat="1" ht="12.75">
      <c r="A31" s="3">
        <v>25</v>
      </c>
      <c r="B31" s="3">
        <f t="shared" si="1"/>
        <v>637</v>
      </c>
      <c r="C31" s="3">
        <v>109</v>
      </c>
      <c r="D31" s="5">
        <v>-215.1</v>
      </c>
      <c r="E31" s="5" t="str">
        <f t="shared" si="33"/>
        <v>-215.1j</v>
      </c>
      <c r="F31" s="20">
        <f t="shared" si="35"/>
        <v>-278.4272875816993</v>
      </c>
      <c r="G31" s="21">
        <f t="shared" si="36"/>
        <v>53.7429015055992</v>
      </c>
      <c r="H31" s="20">
        <f t="shared" si="37"/>
        <v>64.26992133186923</v>
      </c>
      <c r="I31" s="3">
        <f t="shared" si="38"/>
        <v>1.6057889595124394E-05</v>
      </c>
      <c r="J31" s="21">
        <f t="shared" si="34"/>
        <v>16.057889595124394</v>
      </c>
      <c r="K31" s="4" t="str">
        <f t="shared" si="20"/>
        <v>15.9873986553992+45.5548071463877j</v>
      </c>
      <c r="L31" s="21">
        <f t="shared" si="8"/>
        <v>23.318941163854326</v>
      </c>
      <c r="M31" s="21">
        <f t="shared" si="39"/>
        <v>68.87374831024204</v>
      </c>
      <c r="N31" s="21">
        <f t="shared" si="10"/>
        <v>34.279855468267506</v>
      </c>
      <c r="O31" s="3" t="str">
        <f t="shared" si="21"/>
        <v>-23.3189411638543j</v>
      </c>
      <c r="P31" s="3" t="str">
        <f t="shared" si="31"/>
        <v>-22.2358659825334j</v>
      </c>
      <c r="Q31" s="3" t="str">
        <f t="shared" si="22"/>
        <v>-34.2798554682675j</v>
      </c>
      <c r="R31" s="5">
        <f t="shared" si="32"/>
        <v>-100.59122168190402</v>
      </c>
      <c r="S31" s="5">
        <f t="shared" si="11"/>
        <v>83.78587255311304</v>
      </c>
      <c r="T31" s="5">
        <f t="shared" si="23"/>
        <v>-94.38403540059974</v>
      </c>
      <c r="U31" s="5">
        <f t="shared" si="24"/>
        <v>51.04573998664865</v>
      </c>
      <c r="V31" s="3" t="str">
        <f t="shared" si="25"/>
        <v>15.9873986553991+28.7494580175969j</v>
      </c>
      <c r="W31" s="3" t="str">
        <f t="shared" si="26"/>
        <v>-43.3382954139511j</v>
      </c>
      <c r="X31" s="22" t="str">
        <f t="shared" si="27"/>
        <v>64.10+15.16j</v>
      </c>
      <c r="Y31" s="23" t="str">
        <f t="shared" si="28"/>
        <v>1.28+0.30j</v>
      </c>
      <c r="Z31" s="3" t="str">
        <f t="shared" si="40"/>
        <v>109+63.327287581699j</v>
      </c>
      <c r="AA31" s="3" t="str">
        <f t="shared" si="41"/>
        <v>-4070.03979103645+7005.42142517374j</v>
      </c>
      <c r="AB31" s="3" t="str">
        <f t="shared" si="42"/>
        <v>109+127.597208913568j</v>
      </c>
      <c r="AC31" s="3" t="str">
        <f t="shared" si="43"/>
        <v>15.9873986553991+45.5548071463879j</v>
      </c>
      <c r="AD31" s="3" t="str">
        <f t="shared" si="44"/>
        <v>15.9873986553991+28.7494580175969j</v>
      </c>
      <c r="AE31" s="3" t="str">
        <f t="shared" si="45"/>
        <v>-43.3382954139511j</v>
      </c>
      <c r="AF31" s="3" t="str">
        <f t="shared" si="46"/>
        <v>1245.9525045576-692.866605828291j</v>
      </c>
      <c r="AG31" s="3" t="str">
        <f t="shared" si="47"/>
        <v>15.9873986553991-14.5888373963542j</v>
      </c>
      <c r="AH31" s="22" t="str">
        <f t="shared" si="29"/>
        <v>64.10+15.16j</v>
      </c>
      <c r="AI31" s="23" t="str">
        <f t="shared" si="30"/>
        <v>1.28+0.30j</v>
      </c>
    </row>
    <row r="32" spans="1:35" s="3" customFormat="1" ht="12.75">
      <c r="A32" s="3">
        <v>30</v>
      </c>
      <c r="B32" s="3">
        <f t="shared" si="1"/>
        <v>642</v>
      </c>
      <c r="C32" s="3">
        <v>93</v>
      </c>
      <c r="D32" s="5">
        <v>-226.1</v>
      </c>
      <c r="E32" s="5" t="str">
        <f>COMPLEX(0,D32,"j")</f>
        <v>-226.1j</v>
      </c>
      <c r="F32" s="20">
        <f t="shared" si="35"/>
        <v>-280.6127450980392</v>
      </c>
      <c r="G32" s="21">
        <f t="shared" si="36"/>
        <v>56.05129693625785</v>
      </c>
      <c r="H32" s="20">
        <f t="shared" si="37"/>
        <v>64.7743948117112</v>
      </c>
      <c r="I32" s="3">
        <f t="shared" si="38"/>
        <v>1.6057889595124387E-05</v>
      </c>
      <c r="J32" s="21">
        <f t="shared" si="34"/>
        <v>16.057889595124387</v>
      </c>
      <c r="K32" s="4" t="str">
        <f t="shared" si="20"/>
        <v>17.0554669837082+42.8980735610476j</v>
      </c>
      <c r="L32" s="21">
        <f t="shared" si="8"/>
        <v>23.704100808785167</v>
      </c>
      <c r="M32" s="21">
        <f t="shared" si="39"/>
        <v>66.60217436983277</v>
      </c>
      <c r="N32" s="21">
        <f t="shared" si="10"/>
        <v>35.97577297128929</v>
      </c>
      <c r="O32" s="3" t="str">
        <f t="shared" si="21"/>
        <v>-23.7041008087852j</v>
      </c>
      <c r="P32" s="3" t="str">
        <f t="shared" si="31"/>
        <v>-19.1939727522624j</v>
      </c>
      <c r="Q32" s="3" t="str">
        <f t="shared" si="22"/>
        <v>-35.9757729712893j</v>
      </c>
      <c r="R32" s="5">
        <f t="shared" si="32"/>
        <v>-99.80780095229414</v>
      </c>
      <c r="S32" s="5">
        <f t="shared" si="11"/>
        <v>84.44353246326305</v>
      </c>
      <c r="T32" s="5">
        <f t="shared" si="23"/>
        <v>-93.64895724327418</v>
      </c>
      <c r="U32" s="5">
        <f t="shared" si="24"/>
        <v>51.446412984973996</v>
      </c>
      <c r="V32" s="3" t="str">
        <f t="shared" si="25"/>
        <v>17.0554669837082+27.5338050720165j</v>
      </c>
      <c r="W32" s="3" t="str">
        <f t="shared" si="26"/>
        <v>-42.2025442583002j</v>
      </c>
      <c r="X32" s="22" t="str">
        <f t="shared" si="27"/>
        <v>60.03+9.42j</v>
      </c>
      <c r="Y32" s="23" t="str">
        <f t="shared" si="28"/>
        <v>1.20+0.19j</v>
      </c>
      <c r="Z32" s="3" t="str">
        <f t="shared" si="40"/>
        <v>93+54.512745098039j</v>
      </c>
      <c r="AA32" s="3" t="str">
        <f t="shared" si="41"/>
        <v>-3531.03007325055+6024.01871748914j</v>
      </c>
      <c r="AB32" s="3" t="str">
        <f t="shared" si="42"/>
        <v>93+119.28713990975j</v>
      </c>
      <c r="AC32" s="3" t="str">
        <f t="shared" si="43"/>
        <v>17.0554669837082+42.8980735610475j</v>
      </c>
      <c r="AD32" s="3" t="str">
        <f t="shared" si="44"/>
        <v>17.0554669837082+27.5338050720165j</v>
      </c>
      <c r="AE32" s="3" t="str">
        <f t="shared" si="45"/>
        <v>-42.2025442583002j</v>
      </c>
      <c r="AF32" s="3" t="str">
        <f t="shared" si="46"/>
        <v>1161.99662715119-719.784100225923j</v>
      </c>
      <c r="AG32" s="3" t="str">
        <f t="shared" si="47"/>
        <v>17.0554669837082-14.6687391862837j</v>
      </c>
      <c r="AH32" s="22" t="str">
        <f t="shared" si="29"/>
        <v>60.03+9.42j</v>
      </c>
      <c r="AI32" s="23" t="str">
        <f t="shared" si="30"/>
        <v>1.20+0.19j</v>
      </c>
    </row>
    <row r="33" s="3" customFormat="1" ht="12.75"/>
    <row r="35" spans="11:15" ht="12.75">
      <c r="K35" s="3">
        <f>$B$6-10</f>
        <v>602</v>
      </c>
      <c r="L35" s="10" t="s">
        <v>22</v>
      </c>
      <c r="M35" s="11">
        <f ca="1">(((((0-IMAGINARY(INDIRECT("P"&amp;MATCH(K35,$B$20:$B$32,0)+19)))*2*PI()*K35*1000))-((0-IMAGINARY(INDIRECT("P"&amp;MATCH(K36,$B$20:$B$32,0)+19))*2*PI()*K36*1000)))/(((2*PI()*K36*1000)^2-(2*PI()*K35*1000)^2)))*1000000</f>
        <v>20.93396511474961</v>
      </c>
      <c r="N35" s="10" t="s">
        <v>24</v>
      </c>
      <c r="O35" t="s">
        <v>27</v>
      </c>
    </row>
    <row r="36" spans="11:15" ht="12.75">
      <c r="K36" s="3">
        <f>$B$6+10</f>
        <v>622</v>
      </c>
      <c r="L36" s="10" t="s">
        <v>25</v>
      </c>
      <c r="M36" s="11">
        <f ca="1">1000000000000/(((0-IMAGINARY(INDIRECT("P"&amp;MATCH(K35,$B$20:$B$32,0)+19)))*2*PI()*K35*1000)+(((2*PI()*K35*1000)^2)*(M35/1000000)))</f>
        <v>2483.822841666067</v>
      </c>
      <c r="N36" s="10" t="s">
        <v>26</v>
      </c>
      <c r="O36" t="s">
        <v>28</v>
      </c>
    </row>
    <row r="37" ht="12.75">
      <c r="K37" s="3"/>
    </row>
    <row r="38" spans="11:15" ht="12.75">
      <c r="K38" s="3">
        <f>K35</f>
        <v>602</v>
      </c>
      <c r="L38" s="10" t="s">
        <v>22</v>
      </c>
      <c r="M38" s="11">
        <f ca="1">(((((0-IMAGINARY(INDIRECT("Q"&amp;MATCH(K35,$B$20:$B$32,0)+19)))*2*PI()*K35*1000))-((0-IMAGINARY(INDIRECT("Q"&amp;MATCH(K36,$B$20:$B$32,0)+19))*2*PI()*K36*1000)))/(((2*PI()*K36*1000)^2-(2*PI()*K35*1000)^2)))*1000000</f>
        <v>12.753817649385798</v>
      </c>
      <c r="N38" s="10" t="s">
        <v>24</v>
      </c>
      <c r="O38" t="s">
        <v>29</v>
      </c>
    </row>
    <row r="39" spans="11:15" ht="12.75">
      <c r="K39" s="3">
        <f>K36</f>
        <v>622</v>
      </c>
      <c r="L39" s="10" t="s">
        <v>25</v>
      </c>
      <c r="M39" s="11">
        <f>1000000000000/(((0-IMAGINARY(Q24))*2*PI()*K35*1000)+(((2*PI()*K35*1000)^2)*(M38/1000000)))</f>
        <v>2647.1719822547498</v>
      </c>
      <c r="N39" s="10" t="s">
        <v>26</v>
      </c>
      <c r="O39" t="s">
        <v>30</v>
      </c>
    </row>
    <row r="41" spans="5:8" ht="13.5" thickBot="1">
      <c r="E41" s="13" t="s">
        <v>31</v>
      </c>
      <c r="G41" s="13" t="s">
        <v>32</v>
      </c>
      <c r="H41" s="13" t="s">
        <v>33</v>
      </c>
    </row>
    <row r="42" spans="5:9" ht="13.5" thickBot="1">
      <c r="E42" s="16">
        <f>G26</f>
        <v>69.56527332856537</v>
      </c>
      <c r="F42" s="14"/>
      <c r="G42" s="16">
        <f>M35</f>
        <v>20.93396511474961</v>
      </c>
      <c r="H42" s="17">
        <f>M36</f>
        <v>2483.822841666067</v>
      </c>
      <c r="I42" s="14"/>
    </row>
    <row r="43" spans="5:9" ht="12.75">
      <c r="E43" s="13"/>
      <c r="F43" s="13"/>
      <c r="G43" s="13"/>
      <c r="H43" s="13"/>
      <c r="I43" s="14"/>
    </row>
    <row r="44" spans="5:9" ht="13.5" thickBot="1">
      <c r="E44" s="13"/>
      <c r="F44" s="13"/>
      <c r="G44" s="13"/>
      <c r="H44" s="13"/>
      <c r="I44" s="15"/>
    </row>
    <row r="45" spans="5:10" ht="13.5" thickBot="1">
      <c r="E45" s="13" t="s">
        <v>34</v>
      </c>
      <c r="F45" s="16">
        <f>J26</f>
        <v>16.05788959512439</v>
      </c>
      <c r="G45" s="13"/>
      <c r="H45" s="13"/>
      <c r="I45" s="17">
        <f>M39</f>
        <v>2647.1719822547498</v>
      </c>
      <c r="J45" t="s">
        <v>35</v>
      </c>
    </row>
    <row r="46" spans="5:10" ht="13.5" thickBot="1">
      <c r="E46" s="13"/>
      <c r="F46" s="13"/>
      <c r="G46" s="13"/>
      <c r="H46" s="13"/>
      <c r="I46" s="16">
        <f>M38</f>
        <v>12.753817649385798</v>
      </c>
      <c r="J46" t="s">
        <v>36</v>
      </c>
    </row>
    <row r="63" spans="5:11" ht="12.75">
      <c r="E63" t="s">
        <v>3</v>
      </c>
      <c r="F63" t="s">
        <v>5</v>
      </c>
      <c r="G63" s="2" t="s">
        <v>12</v>
      </c>
      <c r="H63" t="s">
        <v>3</v>
      </c>
      <c r="I63" s="2" t="s">
        <v>5</v>
      </c>
      <c r="J63" s="2" t="s">
        <v>12</v>
      </c>
      <c r="K63" s="2" t="s">
        <v>14</v>
      </c>
    </row>
    <row r="64" spans="5:14" ht="12.75">
      <c r="E64" t="s">
        <v>11</v>
      </c>
      <c r="F64" t="s">
        <v>6</v>
      </c>
      <c r="G64" t="s">
        <v>10</v>
      </c>
      <c r="H64" t="s">
        <v>7</v>
      </c>
      <c r="I64" t="s">
        <v>9</v>
      </c>
      <c r="J64" t="s">
        <v>9</v>
      </c>
      <c r="K64" s="2" t="s">
        <v>15</v>
      </c>
      <c r="L64" s="2" t="s">
        <v>18</v>
      </c>
      <c r="M64" s="2" t="s">
        <v>16</v>
      </c>
      <c r="N64" s="2" t="s">
        <v>19</v>
      </c>
    </row>
    <row r="65" spans="1:14" s="3" customFormat="1" ht="12.75">
      <c r="A65" s="3">
        <v>-30</v>
      </c>
      <c r="E65" s="5" t="str">
        <f aca="true" t="shared" si="48" ref="E65:E77">COMPLEX(0,H3,"j")</f>
        <v>-309.3j</v>
      </c>
      <c r="F65" s="6">
        <f aca="true" t="shared" si="49" ref="F65:F70">-(PI()*2*F3*$G$26)/1000</f>
        <v>-254.38725490196077</v>
      </c>
      <c r="G65" s="7">
        <f aca="true" t="shared" si="50" ref="G65:G77">F65*1000000</f>
        <v>-254387254.90196076</v>
      </c>
      <c r="H65" s="4">
        <f aca="true" t="shared" si="51" ref="H65:H70">2*PI()*F3*$I$26*1000</f>
        <v>58.720713053607355</v>
      </c>
      <c r="I65" s="3">
        <f aca="true" t="shared" si="52" ref="I65:I77">H65/(2*PI()*F3*1000)</f>
        <v>1.605788959512439E-05</v>
      </c>
      <c r="J65" s="3">
        <f aca="true" t="shared" si="53" ref="J65:J77">I65*1000000</f>
        <v>16.05788959512439</v>
      </c>
      <c r="K65" s="8" t="str">
        <f>IMDIV(IMPRODUCT(G3,COMPLEX(0,H65,"j")),COMPLEX(G3,H65,"j"))</f>
        <v>18.8129290410575+51.9015241158431j</v>
      </c>
      <c r="L65" s="3">
        <f aca="true" t="shared" si="54" ref="L65:L77">IMREAL(K65)*SQRT(($B$4/IMREAL(K65))-1)</f>
        <v>24.222306928717796</v>
      </c>
      <c r="M65" s="3">
        <f>L65+IMAGINARY(K65)</f>
        <v>76.1238310445609</v>
      </c>
      <c r="N65" s="3">
        <f aca="true" t="shared" si="55" ref="N65:N77">$B$4/SQRT(($B$4/IMREAL(K65))-1)</f>
        <v>38.83389203270524</v>
      </c>
    </row>
    <row r="66" spans="1:14" s="3" customFormat="1" ht="12.75">
      <c r="A66" s="3">
        <v>-25</v>
      </c>
      <c r="E66" s="5" t="str">
        <f t="shared" si="48"/>
        <v>-304.7j</v>
      </c>
      <c r="F66" s="6">
        <f t="shared" si="49"/>
        <v>-256.5727124183006</v>
      </c>
      <c r="G66" s="7">
        <f t="shared" si="50"/>
        <v>-256572712.41830063</v>
      </c>
      <c r="H66" s="4">
        <f t="shared" si="51"/>
        <v>59.225186533449346</v>
      </c>
      <c r="I66" s="3">
        <f t="shared" si="52"/>
        <v>1.605788959512439E-05</v>
      </c>
      <c r="J66" s="3">
        <f t="shared" si="53"/>
        <v>16.05788959512439</v>
      </c>
      <c r="K66" s="3" t="str">
        <f>IMDIV(IMPRODUCT(G4,COMPLEX(0,H66,"j")),COMPLEX(G4,H66,"j"))</f>
        <v>19.7468118863408+51.6799696469366j</v>
      </c>
      <c r="L66" s="3">
        <f t="shared" si="54"/>
        <v>24.44184965673649</v>
      </c>
      <c r="M66" s="3">
        <f>L66+IMAGINARY(K66)</f>
        <v>76.12181930367309</v>
      </c>
      <c r="N66" s="3">
        <f t="shared" si="55"/>
        <v>40.395494129263504</v>
      </c>
    </row>
    <row r="67" spans="1:14" s="3" customFormat="1" ht="12.75">
      <c r="A67" s="3">
        <v>-20</v>
      </c>
      <c r="E67" s="5" t="str">
        <f t="shared" si="48"/>
        <v>-295.8j</v>
      </c>
      <c r="F67" s="6">
        <f t="shared" si="49"/>
        <v>-258.75816993464053</v>
      </c>
      <c r="G67" s="7">
        <f t="shared" si="50"/>
        <v>-258758169.93464053</v>
      </c>
      <c r="H67" s="4">
        <f t="shared" si="51"/>
        <v>59.72966001329134</v>
      </c>
      <c r="I67" s="3">
        <f t="shared" si="52"/>
        <v>1.605788959512439E-05</v>
      </c>
      <c r="J67" s="3">
        <f t="shared" si="53"/>
        <v>16.05788959512439</v>
      </c>
      <c r="K67" s="3" t="str">
        <f>IMDIV(IMPRODUCT(G5,COMPLEX(0,H67,"j")),COMPLEX(G5,H67,"j"))</f>
        <v>20.8305042547622+51.2657216660643j</v>
      </c>
      <c r="L67" s="3">
        <f t="shared" si="54"/>
        <v>24.64985406103744</v>
      </c>
      <c r="M67" s="3">
        <f>L67+IMAGINARY(K67)</f>
        <v>75.91557572710174</v>
      </c>
      <c r="N67" s="3">
        <f t="shared" si="55"/>
        <v>42.25279428263987</v>
      </c>
    </row>
    <row r="68" spans="1:14" s="3" customFormat="1" ht="12.75">
      <c r="A68" s="3">
        <v>-15</v>
      </c>
      <c r="E68" s="5" t="str">
        <f t="shared" si="48"/>
        <v>-288.7j</v>
      </c>
      <c r="F68" s="6">
        <f t="shared" si="49"/>
        <v>-260.9436274509804</v>
      </c>
      <c r="G68" s="7">
        <f t="shared" si="50"/>
        <v>-260943627.4509804</v>
      </c>
      <c r="H68" s="4">
        <f t="shared" si="51"/>
        <v>60.23413349313332</v>
      </c>
      <c r="I68" s="3">
        <f t="shared" si="52"/>
        <v>1.605788959512439E-05</v>
      </c>
      <c r="J68" s="3">
        <f t="shared" si="53"/>
        <v>16.05788959512439</v>
      </c>
      <c r="K68" s="3" t="str">
        <f>IMDIV(IMPRODUCT(G6,COMPLEX(0,H68,"j")),COMPLEX(G6,H68,"j"))</f>
        <v>21.975234290942+50.7114054656262j</v>
      </c>
      <c r="L68" s="3">
        <f t="shared" si="54"/>
        <v>24.816341237283687</v>
      </c>
      <c r="M68" s="3">
        <f>L68+IMAGINARY(K68)</f>
        <v>75.5277467029099</v>
      </c>
      <c r="N68" s="3">
        <f t="shared" si="55"/>
        <v>44.27573364023289</v>
      </c>
    </row>
    <row r="69" spans="1:14" s="3" customFormat="1" ht="12.75">
      <c r="A69" s="3">
        <v>-10</v>
      </c>
      <c r="E69" s="5" t="str">
        <f t="shared" si="48"/>
        <v>-281.4j</v>
      </c>
      <c r="F69" s="6">
        <f t="shared" si="49"/>
        <v>-263.12908496732024</v>
      </c>
      <c r="G69" s="7">
        <f t="shared" si="50"/>
        <v>-263129084.96732023</v>
      </c>
      <c r="H69" s="4">
        <f t="shared" si="51"/>
        <v>60.73860697297531</v>
      </c>
      <c r="I69" s="3">
        <f t="shared" si="52"/>
        <v>1.605788959512439E-05</v>
      </c>
      <c r="J69" s="3">
        <f t="shared" si="53"/>
        <v>16.05788959512439</v>
      </c>
      <c r="K69" s="4" t="str">
        <f>IMDIV(IMPRODUCT(COMPLEX(G7,F69+H7,"j"),COMPLEX(0,H69,"j")),COMPLEX(G7,H69+F69+H7,"j"))</f>
        <v>1.89834451751616+67.8579945817124j</v>
      </c>
      <c r="L69" s="3">
        <f t="shared" si="54"/>
        <v>9.555810482037844</v>
      </c>
      <c r="M69" s="3">
        <f>L69+IMAGINARY(K69)</f>
        <v>77.41380506375025</v>
      </c>
      <c r="N69" s="3">
        <f t="shared" si="55"/>
        <v>9.932933062478048</v>
      </c>
    </row>
    <row r="70" spans="1:14" s="3" customFormat="1" ht="12.75">
      <c r="A70" s="3">
        <v>-5</v>
      </c>
      <c r="E70" s="5" t="str">
        <f t="shared" si="48"/>
        <v>-275.8j</v>
      </c>
      <c r="F70" s="6">
        <f t="shared" si="49"/>
        <v>-265.31454248366015</v>
      </c>
      <c r="G70" s="7">
        <f t="shared" si="50"/>
        <v>-265314542.48366016</v>
      </c>
      <c r="H70" s="4">
        <f t="shared" si="51"/>
        <v>61.243080452817296</v>
      </c>
      <c r="I70" s="3">
        <f t="shared" si="52"/>
        <v>1.605788959512439E-05</v>
      </c>
      <c r="J70" s="3">
        <f t="shared" si="53"/>
        <v>16.05788959512439</v>
      </c>
      <c r="K70" s="3" t="str">
        <f>IMDIV(IMPRODUCT(G8,COMPLEX(0,H70,"j")),COMPLEX(G8,H70,"j"))</f>
        <v>24.0789189708697+49.539372740517j</v>
      </c>
      <c r="L70" s="3">
        <f t="shared" si="54"/>
        <v>24.9830264327158</v>
      </c>
      <c r="M70" s="3">
        <f aca="true" t="shared" si="56" ref="M70:M77">L70+IMAGINARY(K70)</f>
        <v>74.5223991732328</v>
      </c>
      <c r="N70" s="3">
        <f t="shared" si="55"/>
        <v>48.19055656791414</v>
      </c>
    </row>
    <row r="71" spans="1:14" s="3" customFormat="1" ht="12.75">
      <c r="A71" s="3">
        <v>0</v>
      </c>
      <c r="E71" s="5" t="str">
        <f t="shared" si="48"/>
        <v>-267.5j</v>
      </c>
      <c r="F71" s="9" t="str">
        <f>E71</f>
        <v>-267.5j</v>
      </c>
      <c r="G71" s="5">
        <f>(H9*1000)/(2*PI()*F9)</f>
        <v>-69.56527332856537</v>
      </c>
      <c r="H71" s="3">
        <f>G9*(SQRT(($B$2)/(G9-$B$2)))</f>
        <v>61.74755393265929</v>
      </c>
      <c r="I71" s="3">
        <f t="shared" si="52"/>
        <v>1.605788959512439E-05</v>
      </c>
      <c r="J71" s="3">
        <f>I71*1000000</f>
        <v>16.05788959512439</v>
      </c>
      <c r="K71" s="5" t="str">
        <f>IMDIV(IMPRODUCT(G9,COMPLEX(0,H71,"j")),COMPLEX(G9,H71,"j"))</f>
        <v>25+48.9897948556636j</v>
      </c>
      <c r="L71" s="3">
        <f t="shared" si="54"/>
        <v>25</v>
      </c>
      <c r="M71" s="3">
        <f t="shared" si="56"/>
        <v>73.9897948556636</v>
      </c>
      <c r="N71" s="3">
        <f t="shared" si="55"/>
        <v>50</v>
      </c>
    </row>
    <row r="72" spans="1:14" s="3" customFormat="1" ht="12.75">
      <c r="A72" s="3">
        <v>5</v>
      </c>
      <c r="E72" s="5" t="str">
        <f t="shared" si="48"/>
        <v>-261.9j</v>
      </c>
      <c r="F72" s="6">
        <f aca="true" t="shared" si="57" ref="F72:F77">-(PI()*2*F10*$G$26)/1000</f>
        <v>-269.68545751633985</v>
      </c>
      <c r="G72" s="7">
        <f t="shared" si="50"/>
        <v>-269685457.51633984</v>
      </c>
      <c r="H72" s="4">
        <f aca="true" t="shared" si="58" ref="H72:H77">2*PI()*F10*$I$26*1000</f>
        <v>62.25202741250127</v>
      </c>
      <c r="I72" s="3">
        <f t="shared" si="52"/>
        <v>1.605788959512439E-05</v>
      </c>
      <c r="J72" s="3">
        <f t="shared" si="53"/>
        <v>16.05788959512439</v>
      </c>
      <c r="K72" s="3" t="str">
        <f>IMDIV(IMPRODUCT(G10,COMPLEX(0,H72,"j")),COMPLEX(G10,H72,"j"))</f>
        <v>25.9378202128258+48.332355904662j</v>
      </c>
      <c r="L72" s="3">
        <f t="shared" si="54"/>
        <v>24.982403672353374</v>
      </c>
      <c r="M72" s="3">
        <f t="shared" si="56"/>
        <v>73.31475957701538</v>
      </c>
      <c r="N72" s="3">
        <f t="shared" si="55"/>
        <v>51.91217897405471</v>
      </c>
    </row>
    <row r="73" spans="1:14" s="4" customFormat="1" ht="12.75">
      <c r="A73" s="3">
        <v>10</v>
      </c>
      <c r="E73" s="5" t="str">
        <f t="shared" si="48"/>
        <v>-255j</v>
      </c>
      <c r="F73" s="6">
        <f t="shared" si="57"/>
        <v>-271.87091503267976</v>
      </c>
      <c r="G73" s="7">
        <f t="shared" si="50"/>
        <v>-271870915.03267974</v>
      </c>
      <c r="H73" s="4">
        <f t="shared" si="58"/>
        <v>62.75650089234326</v>
      </c>
      <c r="I73" s="4">
        <f t="shared" si="52"/>
        <v>1.605788959512439E-05</v>
      </c>
      <c r="J73" s="4">
        <f t="shared" si="53"/>
        <v>16.05788959512439</v>
      </c>
      <c r="K73" s="4" t="str">
        <f>IMDIV(IMPRODUCT(COMPLEX(G11,F73+H11,"j"),COMPLEX(0,H73,"j")),COMPLEX(G11,H73+F73+H11,"j"))</f>
        <v>1.93509872839861+70.775315290865j</v>
      </c>
      <c r="L73" s="3">
        <f t="shared" si="54"/>
        <v>9.644186297001971</v>
      </c>
      <c r="M73" s="3">
        <f t="shared" si="56"/>
        <v>80.41950158786696</v>
      </c>
      <c r="N73" s="3">
        <f t="shared" si="55"/>
        <v>10.032462401727777</v>
      </c>
    </row>
    <row r="74" spans="1:14" s="3" customFormat="1" ht="12.75">
      <c r="A74" s="3">
        <v>15</v>
      </c>
      <c r="E74" s="5" t="str">
        <f t="shared" si="48"/>
        <v>-248.4j</v>
      </c>
      <c r="F74" s="6">
        <f t="shared" si="57"/>
        <v>-274.0563725490196</v>
      </c>
      <c r="G74" s="7">
        <f t="shared" si="50"/>
        <v>-274056372.54901963</v>
      </c>
      <c r="H74" s="4">
        <f t="shared" si="58"/>
        <v>63.26097437218525</v>
      </c>
      <c r="I74" s="3">
        <f t="shared" si="52"/>
        <v>1.605788959512439E-05</v>
      </c>
      <c r="J74" s="3">
        <f t="shared" si="53"/>
        <v>16.05788959512439</v>
      </c>
      <c r="K74" s="3" t="str">
        <f>IMDIV(IMPRODUCT(G12,COMPLEX(0,H74,"j")),COMPLEX(G12,H74,"j"))</f>
        <v>27.9634135788067+46.4134239934452j</v>
      </c>
      <c r="L74" s="3">
        <f t="shared" si="54"/>
        <v>24.82374226342483</v>
      </c>
      <c r="M74" s="3">
        <f t="shared" si="56"/>
        <v>71.23716625687003</v>
      </c>
      <c r="N74" s="3">
        <f t="shared" si="55"/>
        <v>56.32392828217494</v>
      </c>
    </row>
    <row r="75" spans="1:14" s="3" customFormat="1" ht="12.75">
      <c r="A75" s="3">
        <v>20</v>
      </c>
      <c r="E75" s="5" t="str">
        <f t="shared" si="48"/>
        <v>-241.6j</v>
      </c>
      <c r="F75" s="6">
        <f t="shared" si="57"/>
        <v>-276.24183006535947</v>
      </c>
      <c r="G75" s="7">
        <f t="shared" si="50"/>
        <v>-276241830.0653595</v>
      </c>
      <c r="H75" s="4">
        <f t="shared" si="58"/>
        <v>63.76544785202724</v>
      </c>
      <c r="I75" s="3">
        <f t="shared" si="52"/>
        <v>1.605788959512439E-05</v>
      </c>
      <c r="J75" s="3">
        <f t="shared" si="53"/>
        <v>16.05788959512439</v>
      </c>
      <c r="K75" s="3" t="str">
        <f>IMDIV(IMPRODUCT(G13,COMPLEX(0,H75,"j")),COMPLEX(G13,H75,"j"))</f>
        <v>29.0283596211674+45.0684139969419j</v>
      </c>
      <c r="L75" s="3">
        <f t="shared" si="54"/>
        <v>24.67331187259927</v>
      </c>
      <c r="M75" s="3">
        <f t="shared" si="56"/>
        <v>69.74172586954117</v>
      </c>
      <c r="N75" s="3">
        <f t="shared" si="55"/>
        <v>58.825421919553065</v>
      </c>
    </row>
    <row r="76" spans="1:14" s="3" customFormat="1" ht="12.75">
      <c r="A76" s="3">
        <v>25</v>
      </c>
      <c r="E76" s="5" t="str">
        <f t="shared" si="48"/>
        <v>-215.1j</v>
      </c>
      <c r="F76" s="6">
        <f t="shared" si="57"/>
        <v>-278.4272875816993</v>
      </c>
      <c r="G76" s="7">
        <f t="shared" si="50"/>
        <v>-278427287.5816993</v>
      </c>
      <c r="H76" s="4">
        <f t="shared" si="58"/>
        <v>64.26992133186923</v>
      </c>
      <c r="I76" s="3">
        <f t="shared" si="52"/>
        <v>1.6057889595124394E-05</v>
      </c>
      <c r="J76" s="3">
        <f t="shared" si="53"/>
        <v>16.057889595124394</v>
      </c>
      <c r="K76" s="3" t="str">
        <f>IMDIV(IMPRODUCT(G14,COMPLEX(0,H76,"j")),COMPLEX(G14,H76,"j"))</f>
        <v>28.1194410993625+47.6897904387301j</v>
      </c>
      <c r="L76" s="3">
        <f t="shared" si="54"/>
        <v>24.80461826409768</v>
      </c>
      <c r="M76" s="3">
        <f t="shared" si="56"/>
        <v>72.49440870282778</v>
      </c>
      <c r="N76" s="3">
        <f t="shared" si="55"/>
        <v>56.68186625565351</v>
      </c>
    </row>
    <row r="77" spans="1:14" s="3" customFormat="1" ht="12.75">
      <c r="A77" s="3">
        <v>30</v>
      </c>
      <c r="E77" s="5" t="str">
        <f t="shared" si="48"/>
        <v>-226.1j</v>
      </c>
      <c r="F77" s="6">
        <f t="shared" si="57"/>
        <v>-280.6127450980392</v>
      </c>
      <c r="G77" s="7">
        <f t="shared" si="50"/>
        <v>-280612745.0980392</v>
      </c>
      <c r="H77" s="4">
        <f t="shared" si="58"/>
        <v>64.7743948117112</v>
      </c>
      <c r="I77" s="3">
        <f t="shared" si="52"/>
        <v>1.6057889595124387E-05</v>
      </c>
      <c r="J77" s="3">
        <f t="shared" si="53"/>
        <v>16.057889595124387</v>
      </c>
      <c r="K77" s="3" t="str">
        <f>IMDIV(IMPRODUCT(G15,COMPLEX(0,H77,"j")),COMPLEX(G15,H77,"j"))</f>
        <v>30.3784044511518+43.6158704711869j</v>
      </c>
      <c r="L77" s="3">
        <f t="shared" si="54"/>
        <v>24.414601482715838</v>
      </c>
      <c r="M77" s="3">
        <f t="shared" si="56"/>
        <v>68.03047195390275</v>
      </c>
      <c r="N77" s="3">
        <f t="shared" si="55"/>
        <v>62.21359884300794</v>
      </c>
    </row>
  </sheetData>
  <sheetProtection/>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Total Broadcast Consultants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Andy Green</dc:creator>
  <cp:keywords/>
  <dc:description/>
  <cp:lastModifiedBy>Andy Green</cp:lastModifiedBy>
  <dcterms:created xsi:type="dcterms:W3CDTF">2008-04-15T11:14:04Z</dcterms:created>
  <dcterms:modified xsi:type="dcterms:W3CDTF">2009-04-28T10:37:38Z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